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ee5cabd4556bd50c/Powerpages/Results/2011/"/>
    </mc:Choice>
  </mc:AlternateContent>
  <bookViews>
    <workbookView xWindow="0" yWindow="0" windowWidth="24000" windowHeight="10320" activeTab="1"/>
  </bookViews>
  <sheets>
    <sheet name="Full Results" sheetId="1" r:id="rId1"/>
    <sheet name="Best Lifts" sheetId="3" r:id="rId2"/>
    <sheet name="DV-IDENTITY-0" sheetId="2" state="hidden" r:id="rId3"/>
  </sheets>
  <calcPr calcId="152511"/>
  <fileRecoveryPr repairLoad="1"/>
</workbook>
</file>

<file path=xl/calcChain.xml><?xml version="1.0" encoding="utf-8"?>
<calcChain xmlns="http://schemas.openxmlformats.org/spreadsheetml/2006/main">
  <c r="II9" i="2" l="1"/>
  <c r="IH9" i="2"/>
  <c r="IG9" i="2"/>
  <c r="IF9" i="2"/>
  <c r="IE9" i="2"/>
  <c r="ID9" i="2"/>
  <c r="IC9" i="2"/>
  <c r="IB9" i="2"/>
  <c r="IA9" i="2"/>
  <c r="HZ9" i="2"/>
  <c r="HY9" i="2"/>
  <c r="HX9" i="2"/>
  <c r="HW9" i="2"/>
  <c r="HV9" i="2"/>
  <c r="HU9" i="2"/>
  <c r="HT9" i="2"/>
  <c r="HS9" i="2"/>
  <c r="HR9" i="2"/>
  <c r="HP9" i="2"/>
  <c r="HO9" i="2"/>
  <c r="HN9" i="2"/>
  <c r="HM9" i="2"/>
  <c r="HL9" i="2"/>
  <c r="HJ9" i="2"/>
  <c r="HI9" i="2"/>
  <c r="HH9" i="2"/>
  <c r="HG9" i="2"/>
  <c r="HF9" i="2"/>
  <c r="HE9" i="2"/>
  <c r="HD9" i="2"/>
  <c r="HC9" i="2"/>
  <c r="HB9" i="2"/>
  <c r="HA9" i="2"/>
  <c r="GZ9" i="2"/>
  <c r="GY9" i="2"/>
  <c r="GX9" i="2"/>
  <c r="GW9" i="2"/>
  <c r="GV9" i="2"/>
  <c r="GU9" i="2"/>
  <c r="GT9" i="2"/>
  <c r="GS9" i="2"/>
  <c r="GQ9" i="2"/>
  <c r="GP9" i="2"/>
  <c r="GO9" i="2"/>
  <c r="GN9" i="2"/>
  <c r="GM9" i="2"/>
  <c r="GK9" i="2"/>
  <c r="GJ9" i="2"/>
  <c r="GI9" i="2"/>
  <c r="GH9" i="2"/>
  <c r="GG9" i="2"/>
  <c r="GF9" i="2"/>
  <c r="GE9" i="2"/>
  <c r="GD9" i="2"/>
  <c r="GC9" i="2"/>
  <c r="GB9" i="2"/>
  <c r="GA9" i="2"/>
  <c r="FZ9" i="2"/>
  <c r="FY9" i="2"/>
  <c r="FX9" i="2"/>
  <c r="FW9" i="2"/>
  <c r="FV9" i="2"/>
  <c r="FU9" i="2"/>
  <c r="FT9" i="2"/>
  <c r="FR9" i="2"/>
  <c r="FQ9" i="2"/>
  <c r="FP9" i="2"/>
  <c r="FO9" i="2"/>
  <c r="FN9" i="2"/>
  <c r="FL9" i="2"/>
  <c r="FK9" i="2"/>
  <c r="FJ9" i="2"/>
  <c r="FI9" i="2"/>
  <c r="FH9" i="2"/>
  <c r="FG9" i="2"/>
  <c r="FF9" i="2"/>
  <c r="FE9" i="2"/>
  <c r="FD9" i="2"/>
  <c r="FC9" i="2"/>
  <c r="FB9" i="2"/>
  <c r="FA9" i="2"/>
  <c r="EZ9" i="2"/>
  <c r="EY9" i="2"/>
  <c r="EX9" i="2"/>
  <c r="EW9" i="2"/>
  <c r="EV9" i="2"/>
  <c r="EU9" i="2"/>
  <c r="ES9" i="2"/>
  <c r="ER9" i="2"/>
  <c r="EQ9" i="2"/>
  <c r="EP9" i="2"/>
  <c r="EO9" i="2"/>
  <c r="EM9" i="2"/>
  <c r="EL9" i="2"/>
  <c r="EK9" i="2"/>
  <c r="EJ9" i="2"/>
  <c r="EI9" i="2"/>
  <c r="EH9" i="2"/>
  <c r="EG9" i="2"/>
  <c r="EF9" i="2"/>
  <c r="EE9" i="2"/>
  <c r="ED9" i="2"/>
  <c r="EC9" i="2"/>
  <c r="EB9" i="2"/>
  <c r="EA9" i="2"/>
  <c r="DZ9" i="2"/>
  <c r="DY9" i="2"/>
  <c r="DX9" i="2"/>
  <c r="DW9" i="2"/>
  <c r="DV9" i="2"/>
  <c r="DT9" i="2"/>
  <c r="DS9" i="2"/>
  <c r="DR9" i="2"/>
  <c r="DQ9" i="2"/>
  <c r="DP9" i="2"/>
  <c r="DN9" i="2"/>
  <c r="DM9" i="2"/>
  <c r="DL9" i="2"/>
  <c r="DK9" i="2"/>
  <c r="DJ9" i="2"/>
  <c r="DI9" i="2"/>
  <c r="DH9" i="2"/>
  <c r="DG9" i="2"/>
  <c r="DF9" i="2"/>
  <c r="DE9" i="2"/>
  <c r="DD9" i="2"/>
  <c r="DC9" i="2"/>
  <c r="DB9" i="2"/>
  <c r="DA9" i="2"/>
  <c r="CZ9" i="2"/>
  <c r="CY9" i="2"/>
  <c r="CX9" i="2"/>
  <c r="CW9" i="2"/>
  <c r="CU9" i="2"/>
  <c r="CT9" i="2"/>
  <c r="CS9" i="2"/>
  <c r="CR9" i="2"/>
  <c r="CQ9" i="2"/>
  <c r="CO9" i="2"/>
  <c r="CN9" i="2"/>
  <c r="CM9" i="2"/>
  <c r="CL9" i="2"/>
  <c r="CK9" i="2"/>
  <c r="CJ9" i="2"/>
  <c r="CI9" i="2"/>
  <c r="CH9" i="2"/>
  <c r="CG9" i="2"/>
  <c r="CF9" i="2"/>
  <c r="CE9" i="2"/>
  <c r="CD9" i="2"/>
  <c r="CC9" i="2"/>
  <c r="CB9" i="2"/>
  <c r="CA9" i="2"/>
  <c r="BZ9" i="2"/>
  <c r="BY9" i="2"/>
  <c r="BX9" i="2"/>
  <c r="BV9" i="2"/>
  <c r="BU9" i="2"/>
  <c r="BT9" i="2"/>
  <c r="BS9" i="2"/>
  <c r="BR9" i="2"/>
  <c r="BP9" i="2"/>
  <c r="BO9" i="2"/>
  <c r="BN9" i="2"/>
  <c r="BM9" i="2"/>
  <c r="BL9" i="2"/>
  <c r="BK9" i="2"/>
  <c r="BJ9" i="2"/>
  <c r="BI9" i="2"/>
  <c r="BH9" i="2"/>
  <c r="BG9" i="2"/>
  <c r="BF9" i="2"/>
  <c r="BE9" i="2"/>
  <c r="BD9" i="2"/>
  <c r="BC9" i="2"/>
  <c r="BB9" i="2"/>
  <c r="BA9" i="2"/>
  <c r="AZ9" i="2"/>
  <c r="AY9" i="2"/>
  <c r="AW9" i="2"/>
  <c r="AV9" i="2"/>
  <c r="AU9" i="2"/>
  <c r="AT9" i="2"/>
  <c r="AS9" i="2"/>
  <c r="AQ9" i="2"/>
  <c r="AP9" i="2"/>
  <c r="AO9" i="2"/>
  <c r="AN9" i="2"/>
  <c r="AM9" i="2"/>
  <c r="AL9" i="2"/>
  <c r="AK9" i="2"/>
  <c r="AJ9" i="2"/>
  <c r="AI9" i="2"/>
  <c r="AH9" i="2"/>
  <c r="AG9" i="2"/>
  <c r="AF9" i="2"/>
  <c r="AE9" i="2"/>
  <c r="AD9" i="2"/>
  <c r="AC9" i="2"/>
  <c r="AB9" i="2"/>
  <c r="AA9" i="2"/>
  <c r="Z9" i="2"/>
  <c r="X9" i="2"/>
  <c r="W9" i="2"/>
  <c r="V9" i="2"/>
  <c r="U9" i="2"/>
  <c r="T9" i="2"/>
  <c r="R9" i="2"/>
  <c r="Q9" i="2"/>
  <c r="P9" i="2"/>
  <c r="O9" i="2"/>
  <c r="N9" i="2"/>
  <c r="M9" i="2"/>
  <c r="L9" i="2"/>
  <c r="K9" i="2"/>
  <c r="J9" i="2"/>
  <c r="I9" i="2"/>
  <c r="H9" i="2"/>
  <c r="G9" i="2"/>
  <c r="F9" i="2"/>
  <c r="E9" i="2"/>
  <c r="D9" i="2"/>
  <c r="C9" i="2"/>
  <c r="B9" i="2"/>
  <c r="A9" i="2"/>
  <c r="IU8" i="2"/>
  <c r="IT8" i="2"/>
  <c r="IS8" i="2"/>
  <c r="IR8" i="2"/>
  <c r="IQ8" i="2"/>
  <c r="IO8" i="2"/>
  <c r="IN8" i="2"/>
  <c r="IM8" i="2"/>
  <c r="IL8" i="2"/>
  <c r="IK8" i="2"/>
  <c r="IJ8" i="2"/>
  <c r="II8" i="2"/>
  <c r="IH8" i="2"/>
  <c r="IG8" i="2"/>
  <c r="IF8" i="2"/>
  <c r="IE8" i="2"/>
  <c r="ID8" i="2"/>
  <c r="IC8" i="2"/>
  <c r="IB8" i="2"/>
  <c r="IA8" i="2"/>
  <c r="HZ8" i="2"/>
  <c r="HY8" i="2"/>
  <c r="HX8" i="2"/>
  <c r="HV8" i="2"/>
  <c r="HU8" i="2"/>
  <c r="HT8" i="2"/>
  <c r="HS8" i="2"/>
  <c r="HR8" i="2"/>
  <c r="HI8" i="2"/>
  <c r="HH8" i="2"/>
  <c r="HG8" i="2"/>
  <c r="HF8" i="2"/>
  <c r="HE8" i="2"/>
  <c r="HD8" i="2"/>
  <c r="HC8" i="2"/>
  <c r="HB8" i="2"/>
  <c r="HA8" i="2"/>
  <c r="GZ8" i="2"/>
  <c r="GY8" i="2"/>
  <c r="GX8" i="2"/>
  <c r="GW8" i="2"/>
  <c r="GV8" i="2"/>
  <c r="GU8" i="2"/>
  <c r="GT8" i="2"/>
  <c r="GS8" i="2"/>
  <c r="GR8" i="2"/>
  <c r="GP8" i="2"/>
  <c r="GO8" i="2"/>
  <c r="GN8" i="2"/>
  <c r="GM8" i="2"/>
  <c r="GL8" i="2"/>
  <c r="GC8" i="2"/>
  <c r="GB8" i="2"/>
  <c r="GA8" i="2"/>
  <c r="FZ8" i="2"/>
  <c r="FY8" i="2"/>
  <c r="FX8" i="2"/>
  <c r="FW8" i="2"/>
  <c r="FV8" i="2"/>
  <c r="FU8" i="2"/>
  <c r="FT8" i="2"/>
  <c r="FS8" i="2"/>
  <c r="FR8" i="2"/>
  <c r="FQ8" i="2"/>
  <c r="FP8" i="2"/>
  <c r="FO8" i="2"/>
  <c r="FN8" i="2"/>
  <c r="FM8" i="2"/>
  <c r="FL8" i="2"/>
  <c r="FJ8" i="2"/>
  <c r="FI8" i="2"/>
  <c r="FH8" i="2"/>
  <c r="FG8" i="2"/>
  <c r="FF8" i="2"/>
  <c r="EW8" i="2"/>
  <c r="EV8" i="2"/>
  <c r="EU8" i="2"/>
  <c r="ET8" i="2"/>
  <c r="ES8" i="2"/>
  <c r="ER8" i="2"/>
  <c r="EQ8" i="2"/>
  <c r="EP8" i="2"/>
  <c r="EO8" i="2"/>
  <c r="EN8" i="2"/>
  <c r="EM8" i="2"/>
  <c r="EL8" i="2"/>
  <c r="EK8" i="2"/>
  <c r="EJ8" i="2"/>
  <c r="EI8" i="2"/>
  <c r="EH8" i="2"/>
  <c r="EG8" i="2"/>
  <c r="EF8" i="2"/>
  <c r="ED8" i="2"/>
  <c r="EC8" i="2"/>
  <c r="EB8" i="2"/>
  <c r="EA8" i="2"/>
  <c r="DZ8" i="2"/>
  <c r="DQ8" i="2"/>
  <c r="DP8" i="2"/>
  <c r="DO8" i="2"/>
  <c r="DN8" i="2"/>
  <c r="DM8" i="2"/>
  <c r="DL8" i="2"/>
  <c r="DK8" i="2"/>
  <c r="DJ8" i="2"/>
  <c r="DI8" i="2"/>
  <c r="DH8" i="2"/>
  <c r="DG8" i="2"/>
  <c r="DF8" i="2"/>
  <c r="DE8" i="2"/>
  <c r="DD8" i="2"/>
  <c r="DC8" i="2"/>
  <c r="DB8" i="2"/>
  <c r="DA8" i="2"/>
  <c r="CZ8" i="2"/>
  <c r="CX8" i="2"/>
  <c r="CW8" i="2"/>
  <c r="CV8" i="2"/>
  <c r="CU8" i="2"/>
  <c r="CT8" i="2"/>
  <c r="CK8" i="2"/>
  <c r="CJ8" i="2"/>
  <c r="CI8" i="2"/>
  <c r="CH8" i="2"/>
  <c r="CG8" i="2"/>
  <c r="CF8" i="2"/>
  <c r="CE8" i="2"/>
  <c r="CD8" i="2"/>
  <c r="CC8" i="2"/>
  <c r="CB8" i="2"/>
  <c r="CA8" i="2"/>
  <c r="BZ8" i="2"/>
  <c r="BY8" i="2"/>
  <c r="BX8" i="2"/>
  <c r="BW8" i="2"/>
  <c r="BV8" i="2"/>
  <c r="BU8" i="2"/>
  <c r="BT8" i="2"/>
  <c r="BR8" i="2"/>
  <c r="BQ8" i="2"/>
  <c r="BP8" i="2"/>
  <c r="BO8" i="2"/>
  <c r="BN8" i="2"/>
  <c r="BE8" i="2"/>
  <c r="BD8" i="2"/>
  <c r="BC8" i="2"/>
  <c r="BB8" i="2"/>
  <c r="BA8" i="2"/>
  <c r="AZ8" i="2"/>
  <c r="AY8" i="2"/>
  <c r="AX8" i="2"/>
  <c r="AW8" i="2"/>
  <c r="AV8" i="2"/>
  <c r="AU8" i="2"/>
  <c r="AT8" i="2"/>
  <c r="AS8" i="2"/>
  <c r="AR8" i="2"/>
  <c r="AQ8" i="2"/>
  <c r="AP8" i="2"/>
  <c r="AO8" i="2"/>
  <c r="AN8" i="2"/>
  <c r="AL8" i="2"/>
  <c r="AK8" i="2"/>
  <c r="AJ8" i="2"/>
  <c r="AI8" i="2"/>
  <c r="AH8" i="2"/>
  <c r="Y8" i="2"/>
  <c r="X8" i="2"/>
  <c r="W8" i="2"/>
  <c r="V8" i="2"/>
  <c r="U8" i="2"/>
  <c r="T8" i="2"/>
  <c r="S8" i="2"/>
  <c r="R8" i="2"/>
  <c r="Q8" i="2"/>
  <c r="P8" i="2"/>
  <c r="O8" i="2"/>
  <c r="N8" i="2"/>
  <c r="M8" i="2"/>
  <c r="L8" i="2"/>
  <c r="K8" i="2"/>
  <c r="J8" i="2"/>
  <c r="I8" i="2"/>
  <c r="H8" i="2"/>
  <c r="F8" i="2"/>
  <c r="E8" i="2"/>
  <c r="D8" i="2"/>
  <c r="C8" i="2"/>
  <c r="B8" i="2"/>
  <c r="IO7" i="2"/>
  <c r="IN7" i="2"/>
  <c r="IM7" i="2"/>
  <c r="IL7" i="2"/>
  <c r="IK7" i="2"/>
  <c r="IJ7" i="2"/>
  <c r="II7" i="2"/>
  <c r="IH7" i="2"/>
  <c r="IG7" i="2"/>
  <c r="IF7" i="2"/>
  <c r="IE7" i="2"/>
  <c r="ID7" i="2"/>
  <c r="IC7" i="2"/>
  <c r="IB7" i="2"/>
  <c r="IA7" i="2"/>
  <c r="HZ7" i="2"/>
  <c r="HY7" i="2"/>
  <c r="HX7" i="2"/>
  <c r="HV7" i="2"/>
  <c r="HU7" i="2"/>
  <c r="HT7" i="2"/>
  <c r="HS7" i="2"/>
  <c r="HR7" i="2"/>
  <c r="HI7" i="2"/>
  <c r="HH7" i="2"/>
  <c r="HG7" i="2"/>
  <c r="HF7" i="2"/>
  <c r="HE7" i="2"/>
  <c r="HD7" i="2"/>
  <c r="HC7" i="2"/>
  <c r="HB7" i="2"/>
  <c r="HA7" i="2"/>
  <c r="GZ7" i="2"/>
  <c r="GY7" i="2"/>
  <c r="GX7" i="2"/>
  <c r="GW7" i="2"/>
  <c r="GV7" i="2"/>
  <c r="GU7" i="2"/>
  <c r="GT7" i="2"/>
  <c r="GS7" i="2"/>
  <c r="GR7" i="2"/>
  <c r="GP7" i="2"/>
  <c r="GO7" i="2"/>
  <c r="GN7" i="2"/>
  <c r="GM7" i="2"/>
  <c r="GL7" i="2"/>
  <c r="GC7" i="2"/>
  <c r="GB7" i="2"/>
  <c r="GA7" i="2"/>
  <c r="FZ7" i="2"/>
  <c r="FY7" i="2"/>
  <c r="FX7" i="2"/>
  <c r="FW7" i="2"/>
  <c r="FV7" i="2"/>
  <c r="FU7" i="2"/>
  <c r="FT7" i="2"/>
  <c r="FS7" i="2"/>
  <c r="FR7" i="2"/>
  <c r="FQ7" i="2"/>
  <c r="FP7" i="2"/>
  <c r="FO7" i="2"/>
  <c r="FN7" i="2"/>
  <c r="FM7" i="2"/>
  <c r="FL7" i="2"/>
  <c r="FJ7" i="2"/>
  <c r="FI7" i="2"/>
  <c r="FH7" i="2"/>
  <c r="FG7" i="2"/>
  <c r="FF7" i="2"/>
  <c r="EW7" i="2"/>
  <c r="EV7" i="2"/>
  <c r="EU7" i="2"/>
  <c r="ET7" i="2"/>
  <c r="ES7" i="2"/>
  <c r="ER7" i="2"/>
  <c r="EQ7" i="2"/>
  <c r="EP7" i="2"/>
  <c r="EO7" i="2"/>
  <c r="EN7" i="2"/>
  <c r="EM7" i="2"/>
  <c r="EL7" i="2"/>
  <c r="EK7" i="2"/>
  <c r="EJ7" i="2"/>
  <c r="EI7" i="2"/>
  <c r="EH7" i="2"/>
  <c r="EG7" i="2"/>
  <c r="EF7" i="2"/>
  <c r="ED7" i="2"/>
  <c r="EC7" i="2"/>
  <c r="EB7" i="2"/>
  <c r="EA7" i="2"/>
  <c r="DZ7" i="2"/>
  <c r="DQ7" i="2"/>
  <c r="DP7" i="2"/>
  <c r="DO7" i="2"/>
  <c r="DN7" i="2"/>
  <c r="DM7" i="2"/>
  <c r="DL7" i="2"/>
  <c r="DK7" i="2"/>
  <c r="DJ7" i="2"/>
  <c r="DI7" i="2"/>
  <c r="DH7" i="2"/>
  <c r="DG7" i="2"/>
  <c r="DF7" i="2"/>
  <c r="DE7" i="2"/>
  <c r="DD7" i="2"/>
  <c r="DC7" i="2"/>
  <c r="DB7" i="2"/>
  <c r="DA7" i="2"/>
  <c r="CZ7" i="2"/>
  <c r="CX7" i="2"/>
  <c r="CW7" i="2"/>
  <c r="CV7" i="2"/>
  <c r="CU7" i="2"/>
  <c r="CT7" i="2"/>
  <c r="CK7" i="2"/>
  <c r="CJ7" i="2"/>
  <c r="CI7" i="2"/>
  <c r="CH7" i="2"/>
  <c r="CG7" i="2"/>
  <c r="CF7" i="2"/>
  <c r="CE7" i="2"/>
  <c r="CD7" i="2"/>
  <c r="CC7" i="2"/>
  <c r="CB7" i="2"/>
  <c r="CA7" i="2"/>
  <c r="BZ7" i="2"/>
  <c r="BY7" i="2"/>
  <c r="BX7" i="2"/>
  <c r="BW7" i="2"/>
  <c r="BV7" i="2"/>
  <c r="BU7" i="2"/>
  <c r="BT7" i="2"/>
  <c r="BR7" i="2"/>
  <c r="BQ7" i="2"/>
  <c r="BP7" i="2"/>
  <c r="BO7" i="2"/>
  <c r="BN7" i="2"/>
  <c r="BE7" i="2"/>
  <c r="BD7" i="2"/>
  <c r="BC7" i="2"/>
  <c r="BB7" i="2"/>
  <c r="BA7" i="2"/>
  <c r="AZ7" i="2"/>
  <c r="AY7" i="2"/>
  <c r="AX7" i="2"/>
  <c r="AW7" i="2"/>
  <c r="AV7" i="2"/>
  <c r="AU7" i="2"/>
  <c r="AT7" i="2"/>
  <c r="AS7" i="2"/>
  <c r="AR7" i="2"/>
  <c r="AQ7" i="2"/>
  <c r="AP7" i="2"/>
  <c r="AO7" i="2"/>
  <c r="AN7" i="2"/>
  <c r="AL7" i="2"/>
  <c r="AK7" i="2"/>
  <c r="AJ7" i="2"/>
  <c r="AI7" i="2"/>
  <c r="AH7" i="2"/>
  <c r="Y7" i="2"/>
  <c r="X7" i="2"/>
  <c r="W7" i="2"/>
  <c r="V7" i="2"/>
  <c r="U7" i="2"/>
  <c r="T7" i="2"/>
  <c r="S7" i="2"/>
  <c r="R7" i="2"/>
  <c r="Q7" i="2"/>
  <c r="P7" i="2"/>
  <c r="O7" i="2"/>
  <c r="N7" i="2"/>
  <c r="M7" i="2"/>
  <c r="L7" i="2"/>
  <c r="K7" i="2"/>
  <c r="J7" i="2"/>
  <c r="I7" i="2"/>
  <c r="H7" i="2"/>
  <c r="F7" i="2"/>
  <c r="E7" i="2"/>
  <c r="D7" i="2"/>
  <c r="C7" i="2"/>
  <c r="B7" i="2"/>
  <c r="IO6" i="2"/>
  <c r="IN6" i="2"/>
  <c r="IM6" i="2"/>
  <c r="IL6" i="2"/>
  <c r="IK6" i="2"/>
  <c r="IJ6" i="2"/>
  <c r="II6" i="2"/>
  <c r="IH6" i="2"/>
  <c r="IG6" i="2"/>
  <c r="IF6" i="2"/>
  <c r="IE6" i="2"/>
  <c r="ID6" i="2"/>
  <c r="IC6" i="2"/>
  <c r="IB6" i="2"/>
  <c r="IA6" i="2"/>
  <c r="HZ6" i="2"/>
  <c r="HY6" i="2"/>
  <c r="HX6" i="2"/>
  <c r="HV6" i="2"/>
  <c r="HU6" i="2"/>
  <c r="HT6" i="2"/>
  <c r="HS6" i="2"/>
  <c r="HR6" i="2"/>
  <c r="HI6" i="2"/>
  <c r="HH6" i="2"/>
  <c r="HG6" i="2"/>
  <c r="HF6" i="2"/>
  <c r="HE6" i="2"/>
  <c r="HD6" i="2"/>
  <c r="HC6" i="2"/>
  <c r="HB6" i="2"/>
  <c r="HA6" i="2"/>
  <c r="GZ6" i="2"/>
  <c r="GY6" i="2"/>
  <c r="GX6" i="2"/>
  <c r="GW6" i="2"/>
  <c r="GV6" i="2"/>
  <c r="GU6" i="2"/>
  <c r="GT6" i="2"/>
  <c r="GS6" i="2"/>
  <c r="GR6" i="2"/>
  <c r="GP6" i="2"/>
  <c r="GO6" i="2"/>
  <c r="GN6" i="2"/>
  <c r="GM6" i="2"/>
  <c r="GL6" i="2"/>
  <c r="GC6" i="2"/>
  <c r="GB6" i="2"/>
  <c r="GA6" i="2"/>
  <c r="FZ6" i="2"/>
  <c r="FY6" i="2"/>
  <c r="FX6" i="2"/>
  <c r="FW6" i="2"/>
  <c r="FV6" i="2"/>
  <c r="FU6" i="2"/>
  <c r="FT6" i="2"/>
  <c r="FS6" i="2"/>
  <c r="FR6" i="2"/>
  <c r="FQ6" i="2"/>
  <c r="FP6" i="2"/>
  <c r="FO6" i="2"/>
  <c r="FN6" i="2"/>
  <c r="FM6" i="2"/>
  <c r="FL6" i="2"/>
  <c r="FJ6" i="2"/>
  <c r="FI6" i="2"/>
  <c r="FH6" i="2"/>
  <c r="FG6" i="2"/>
  <c r="FF6" i="2"/>
  <c r="EW6" i="2"/>
  <c r="EV6" i="2"/>
  <c r="EU6" i="2"/>
  <c r="ET6" i="2"/>
  <c r="ES6" i="2"/>
  <c r="ER6" i="2"/>
  <c r="EQ6" i="2"/>
  <c r="EP6" i="2"/>
  <c r="EO6" i="2"/>
  <c r="EN6" i="2"/>
  <c r="EM6" i="2"/>
  <c r="EL6" i="2"/>
  <c r="EK6" i="2"/>
  <c r="EJ6" i="2"/>
  <c r="EI6" i="2"/>
  <c r="EH6" i="2"/>
  <c r="EG6" i="2"/>
  <c r="EF6" i="2"/>
  <c r="ED6" i="2"/>
  <c r="EC6" i="2"/>
  <c r="EB6" i="2"/>
  <c r="EA6" i="2"/>
  <c r="DZ6" i="2"/>
  <c r="DQ6" i="2"/>
  <c r="DP6" i="2"/>
  <c r="DO6" i="2"/>
  <c r="DN6" i="2"/>
  <c r="DM6" i="2"/>
  <c r="DL6" i="2"/>
  <c r="DK6" i="2"/>
  <c r="DJ6" i="2"/>
  <c r="DI6" i="2"/>
  <c r="DH6" i="2"/>
  <c r="DG6" i="2"/>
  <c r="DF6" i="2"/>
  <c r="DE6" i="2"/>
  <c r="DD6" i="2"/>
  <c r="DC6" i="2"/>
  <c r="DB6" i="2"/>
  <c r="DA6" i="2"/>
  <c r="CZ6" i="2"/>
  <c r="CX6" i="2"/>
  <c r="CW6" i="2"/>
  <c r="CV6" i="2"/>
  <c r="CU6" i="2"/>
  <c r="CT6" i="2"/>
  <c r="CK6" i="2"/>
  <c r="CJ6" i="2"/>
  <c r="CI6" i="2"/>
  <c r="CH6" i="2"/>
  <c r="CG6" i="2"/>
  <c r="CF6" i="2"/>
  <c r="CE6" i="2"/>
  <c r="CD6" i="2"/>
  <c r="CC6" i="2"/>
  <c r="CB6" i="2"/>
  <c r="CA6" i="2"/>
  <c r="BZ6" i="2"/>
  <c r="BY6" i="2"/>
  <c r="BX6" i="2"/>
  <c r="BW6" i="2"/>
  <c r="BV6" i="2"/>
  <c r="BU6" i="2"/>
  <c r="BT6" i="2"/>
  <c r="BR6" i="2"/>
  <c r="BQ6" i="2"/>
  <c r="BP6" i="2"/>
  <c r="BO6" i="2"/>
  <c r="BN6" i="2"/>
  <c r="BE6" i="2"/>
  <c r="BD6" i="2"/>
  <c r="BC6" i="2"/>
  <c r="BB6" i="2"/>
  <c r="BA6" i="2"/>
  <c r="AZ6" i="2"/>
  <c r="AY6" i="2"/>
  <c r="AX6" i="2"/>
  <c r="AW6" i="2"/>
  <c r="AV6" i="2"/>
  <c r="AU6" i="2"/>
  <c r="AT6" i="2"/>
  <c r="AS6" i="2"/>
  <c r="AR6" i="2"/>
  <c r="AQ6" i="2"/>
  <c r="AP6" i="2"/>
  <c r="AO6" i="2"/>
  <c r="AN6" i="2"/>
  <c r="AL6" i="2"/>
  <c r="AK6" i="2"/>
  <c r="AJ6" i="2"/>
  <c r="AI6" i="2"/>
  <c r="AH6" i="2"/>
  <c r="Y6" i="2"/>
  <c r="X6" i="2"/>
  <c r="W6" i="2"/>
  <c r="V6" i="2"/>
  <c r="U6" i="2"/>
  <c r="T6" i="2"/>
  <c r="S6" i="2"/>
  <c r="R6" i="2"/>
  <c r="Q6" i="2"/>
  <c r="P6" i="2"/>
  <c r="O6" i="2"/>
  <c r="N6" i="2"/>
  <c r="M6" i="2"/>
  <c r="L6" i="2"/>
  <c r="K6" i="2"/>
  <c r="J6" i="2"/>
  <c r="I6" i="2"/>
  <c r="H6" i="2"/>
  <c r="F6" i="2"/>
  <c r="E6" i="2"/>
  <c r="D6" i="2"/>
  <c r="C6" i="2"/>
  <c r="B6" i="2"/>
  <c r="IO5" i="2"/>
  <c r="IN5" i="2"/>
  <c r="IM5" i="2"/>
  <c r="IL5" i="2"/>
  <c r="IK5" i="2"/>
  <c r="IJ5" i="2"/>
  <c r="II5" i="2"/>
  <c r="IH5" i="2"/>
  <c r="IG5" i="2"/>
  <c r="IF5" i="2"/>
  <c r="IE5" i="2"/>
  <c r="ID5" i="2"/>
  <c r="IC5" i="2"/>
  <c r="IB5" i="2"/>
  <c r="IA5" i="2"/>
  <c r="HZ5" i="2"/>
  <c r="HY5" i="2"/>
  <c r="HX5" i="2"/>
  <c r="HV5" i="2"/>
  <c r="HU5" i="2"/>
  <c r="HT5" i="2"/>
  <c r="HS5" i="2"/>
  <c r="HR5" i="2"/>
  <c r="HI5" i="2"/>
  <c r="HH5" i="2"/>
  <c r="HG5" i="2"/>
  <c r="HF5" i="2"/>
  <c r="HE5" i="2"/>
  <c r="HD5" i="2"/>
  <c r="HC5" i="2"/>
  <c r="HB5" i="2"/>
  <c r="HA5" i="2"/>
  <c r="GZ5" i="2"/>
  <c r="GY5" i="2"/>
  <c r="GX5" i="2"/>
  <c r="GW5" i="2"/>
  <c r="GV5" i="2"/>
  <c r="GU5" i="2"/>
  <c r="GT5" i="2"/>
  <c r="GS5" i="2"/>
  <c r="GR5" i="2"/>
  <c r="GP5" i="2"/>
  <c r="GO5" i="2"/>
  <c r="GN5" i="2"/>
  <c r="GM5" i="2"/>
  <c r="GL5" i="2"/>
  <c r="GC5" i="2"/>
  <c r="GB5" i="2"/>
  <c r="GA5" i="2"/>
  <c r="FZ5" i="2"/>
  <c r="FY5" i="2"/>
  <c r="FX5" i="2"/>
  <c r="FW5" i="2"/>
  <c r="FV5" i="2"/>
  <c r="FU5" i="2"/>
  <c r="FT5" i="2"/>
  <c r="FS5" i="2"/>
  <c r="FR5" i="2"/>
  <c r="FQ5" i="2"/>
  <c r="FP5" i="2"/>
  <c r="FO5" i="2"/>
  <c r="FN5" i="2"/>
  <c r="FM5" i="2"/>
  <c r="FL5" i="2"/>
  <c r="FJ5" i="2"/>
  <c r="FI5" i="2"/>
  <c r="FH5" i="2"/>
  <c r="FG5" i="2"/>
  <c r="FF5" i="2"/>
  <c r="EW5" i="2"/>
  <c r="EV5" i="2"/>
  <c r="EU5" i="2"/>
  <c r="ET5" i="2"/>
  <c r="ES5" i="2"/>
  <c r="ER5" i="2"/>
  <c r="EQ5" i="2"/>
  <c r="EP5" i="2"/>
  <c r="EO5" i="2"/>
  <c r="EN5" i="2"/>
  <c r="EM5" i="2"/>
  <c r="EL5" i="2"/>
  <c r="EK5" i="2"/>
  <c r="EJ5" i="2"/>
  <c r="EI5" i="2"/>
  <c r="EH5" i="2"/>
  <c r="EG5" i="2"/>
  <c r="EF5" i="2"/>
  <c r="ED5" i="2"/>
  <c r="EC5" i="2"/>
  <c r="EB5" i="2"/>
  <c r="EA5" i="2"/>
  <c r="DZ5" i="2"/>
  <c r="DQ5" i="2"/>
  <c r="DP5" i="2"/>
  <c r="DO5" i="2"/>
  <c r="DN5" i="2"/>
  <c r="DM5" i="2"/>
  <c r="DL5" i="2"/>
  <c r="DK5" i="2"/>
  <c r="DJ5" i="2"/>
  <c r="DI5" i="2"/>
  <c r="DH5" i="2"/>
  <c r="DG5" i="2"/>
  <c r="DF5" i="2"/>
  <c r="DE5" i="2"/>
  <c r="DD5" i="2"/>
  <c r="DC5" i="2"/>
  <c r="DB5" i="2"/>
  <c r="DA5" i="2"/>
  <c r="CZ5" i="2"/>
  <c r="CX5" i="2"/>
  <c r="CW5" i="2"/>
  <c r="CV5" i="2"/>
  <c r="CU5" i="2"/>
  <c r="CT5" i="2"/>
  <c r="CK5" i="2"/>
  <c r="CJ5" i="2"/>
  <c r="CI5" i="2"/>
  <c r="CH5" i="2"/>
  <c r="CG5" i="2"/>
  <c r="CF5" i="2"/>
  <c r="CE5" i="2"/>
  <c r="CD5" i="2"/>
  <c r="CC5" i="2"/>
  <c r="CB5" i="2"/>
  <c r="CA5" i="2"/>
  <c r="BZ5" i="2"/>
  <c r="BY5" i="2"/>
  <c r="BX5" i="2"/>
  <c r="BW5" i="2"/>
  <c r="BV5" i="2"/>
  <c r="BU5" i="2"/>
  <c r="BT5" i="2"/>
  <c r="BR5" i="2"/>
  <c r="BQ5" i="2"/>
  <c r="BP5" i="2"/>
  <c r="BO5" i="2"/>
  <c r="BN5" i="2"/>
  <c r="BE5" i="2"/>
  <c r="BD5" i="2"/>
  <c r="BC5" i="2"/>
  <c r="BB5" i="2"/>
  <c r="BA5" i="2"/>
  <c r="AZ5" i="2"/>
  <c r="AY5" i="2"/>
  <c r="AX5" i="2"/>
  <c r="AW5" i="2"/>
  <c r="AV5" i="2"/>
  <c r="AU5" i="2"/>
  <c r="AT5" i="2"/>
  <c r="AS5" i="2"/>
  <c r="AR5" i="2"/>
  <c r="AQ5" i="2"/>
  <c r="AP5" i="2"/>
  <c r="AO5" i="2"/>
  <c r="AN5" i="2"/>
  <c r="AL5" i="2"/>
  <c r="AK5" i="2"/>
  <c r="AJ5" i="2"/>
  <c r="AI5" i="2"/>
  <c r="AH5" i="2"/>
  <c r="Y5" i="2"/>
  <c r="X5" i="2"/>
  <c r="W5" i="2"/>
  <c r="V5" i="2"/>
  <c r="U5" i="2"/>
  <c r="T5" i="2"/>
  <c r="S5" i="2"/>
  <c r="R5" i="2"/>
  <c r="Q5" i="2"/>
  <c r="P5" i="2"/>
  <c r="O5" i="2"/>
  <c r="N5" i="2"/>
  <c r="M5" i="2"/>
  <c r="L5" i="2"/>
  <c r="K5" i="2"/>
  <c r="J5" i="2"/>
  <c r="I5" i="2"/>
  <c r="H5" i="2"/>
  <c r="F5" i="2"/>
  <c r="E5" i="2"/>
  <c r="D5" i="2"/>
  <c r="C5" i="2"/>
  <c r="B5" i="2"/>
  <c r="IO4" i="2"/>
  <c r="IN4" i="2"/>
  <c r="IM4" i="2"/>
  <c r="IL4" i="2"/>
  <c r="IK4" i="2"/>
  <c r="IJ4" i="2"/>
  <c r="II4" i="2"/>
  <c r="IH4" i="2"/>
  <c r="IG4" i="2"/>
  <c r="IF4" i="2"/>
  <c r="IE4" i="2"/>
  <c r="ID4" i="2"/>
  <c r="IC4" i="2"/>
  <c r="IB4" i="2"/>
  <c r="IA4" i="2"/>
  <c r="HZ4" i="2"/>
  <c r="HY4" i="2"/>
  <c r="HX4" i="2"/>
  <c r="HV4" i="2"/>
  <c r="HU4" i="2"/>
  <c r="HT4" i="2"/>
  <c r="HS4" i="2"/>
  <c r="HR4" i="2"/>
  <c r="HI4" i="2"/>
  <c r="HH4" i="2"/>
  <c r="HG4" i="2"/>
  <c r="HF4" i="2"/>
  <c r="HE4" i="2"/>
  <c r="HD4" i="2"/>
  <c r="HC4" i="2"/>
  <c r="HB4" i="2"/>
  <c r="HA4" i="2"/>
  <c r="GZ4" i="2"/>
  <c r="GY4" i="2"/>
  <c r="GX4" i="2"/>
  <c r="GW4" i="2"/>
  <c r="GV4" i="2"/>
  <c r="GU4" i="2"/>
  <c r="GT4" i="2"/>
  <c r="GS4" i="2"/>
  <c r="GR4" i="2"/>
  <c r="GP4" i="2"/>
  <c r="GO4" i="2"/>
  <c r="GN4" i="2"/>
  <c r="GM4" i="2"/>
  <c r="GL4" i="2"/>
  <c r="GC4" i="2"/>
  <c r="GB4" i="2"/>
  <c r="GA4" i="2"/>
  <c r="FZ4" i="2"/>
  <c r="FY4" i="2"/>
  <c r="FX4" i="2"/>
  <c r="FW4" i="2"/>
  <c r="FV4" i="2"/>
  <c r="FU4" i="2"/>
  <c r="FT4" i="2"/>
  <c r="FS4" i="2"/>
  <c r="FR4" i="2"/>
  <c r="FQ4" i="2"/>
  <c r="FP4" i="2"/>
  <c r="FO4" i="2"/>
  <c r="FN4" i="2"/>
  <c r="FM4" i="2"/>
  <c r="FL4" i="2"/>
  <c r="FJ4" i="2"/>
  <c r="FI4" i="2"/>
  <c r="FH4" i="2"/>
  <c r="FG4" i="2"/>
  <c r="FF4" i="2"/>
  <c r="EW4" i="2"/>
  <c r="EV4" i="2"/>
  <c r="EU4" i="2"/>
  <c r="ET4" i="2"/>
  <c r="ES4" i="2"/>
  <c r="ER4" i="2"/>
  <c r="EQ4" i="2"/>
  <c r="EP4" i="2"/>
  <c r="EO4" i="2"/>
  <c r="EN4" i="2"/>
  <c r="EM4" i="2"/>
  <c r="EL4" i="2"/>
  <c r="EK4" i="2"/>
  <c r="EJ4" i="2"/>
  <c r="EI4" i="2"/>
  <c r="EH4" i="2"/>
  <c r="EG4" i="2"/>
  <c r="EF4" i="2"/>
  <c r="ED4" i="2"/>
  <c r="EC4" i="2"/>
  <c r="EB4" i="2"/>
  <c r="EA4" i="2"/>
  <c r="DZ4" i="2"/>
  <c r="DQ4" i="2"/>
  <c r="DP4" i="2"/>
  <c r="DO4" i="2"/>
  <c r="DN4" i="2"/>
  <c r="DM4" i="2"/>
  <c r="DL4" i="2"/>
  <c r="DK4" i="2"/>
  <c r="DJ4" i="2"/>
  <c r="DI4" i="2"/>
  <c r="DH4" i="2"/>
  <c r="DG4" i="2"/>
  <c r="DF4" i="2"/>
  <c r="DE4" i="2"/>
  <c r="DD4" i="2"/>
  <c r="DC4" i="2"/>
  <c r="DB4" i="2"/>
  <c r="DA4" i="2"/>
  <c r="CZ4" i="2"/>
  <c r="CX4" i="2"/>
  <c r="CW4" i="2"/>
  <c r="CV4" i="2"/>
  <c r="CU4" i="2"/>
  <c r="CT4" i="2"/>
  <c r="CK4" i="2"/>
  <c r="CJ4" i="2"/>
  <c r="CI4" i="2"/>
  <c r="CH4" i="2"/>
  <c r="CG4" i="2"/>
  <c r="CF4" i="2"/>
  <c r="CE4" i="2"/>
  <c r="CD4" i="2"/>
  <c r="CC4" i="2"/>
  <c r="CB4" i="2"/>
  <c r="CA4" i="2"/>
  <c r="BZ4" i="2"/>
  <c r="BY4" i="2"/>
  <c r="BX4" i="2"/>
  <c r="BW4" i="2"/>
  <c r="BV4" i="2"/>
  <c r="BU4" i="2"/>
  <c r="BT4" i="2"/>
  <c r="BR4" i="2"/>
  <c r="BQ4" i="2"/>
  <c r="BP4" i="2"/>
  <c r="BO4" i="2"/>
  <c r="BN4" i="2"/>
  <c r="BE4" i="2"/>
  <c r="BD4" i="2"/>
  <c r="BC4" i="2"/>
  <c r="BB4" i="2"/>
  <c r="BA4" i="2"/>
  <c r="AZ4" i="2"/>
  <c r="AY4" i="2"/>
  <c r="AX4" i="2"/>
  <c r="AW4" i="2"/>
  <c r="AV4" i="2"/>
  <c r="AU4" i="2"/>
  <c r="AT4" i="2"/>
  <c r="AS4" i="2"/>
  <c r="AR4" i="2"/>
  <c r="AQ4" i="2"/>
  <c r="AP4" i="2"/>
  <c r="AO4" i="2"/>
  <c r="AN4" i="2"/>
  <c r="AL4" i="2"/>
  <c r="AK4" i="2"/>
  <c r="AJ4" i="2"/>
  <c r="AI4" i="2"/>
  <c r="AH4" i="2"/>
  <c r="Y4" i="2"/>
  <c r="X4" i="2"/>
  <c r="W4" i="2"/>
  <c r="V4" i="2"/>
  <c r="U4" i="2"/>
  <c r="T4" i="2"/>
  <c r="S4" i="2"/>
  <c r="R4" i="2"/>
  <c r="Q4" i="2"/>
  <c r="P4" i="2"/>
  <c r="O4" i="2"/>
  <c r="N4" i="2"/>
  <c r="M4" i="2"/>
  <c r="L4" i="2"/>
  <c r="K4" i="2"/>
  <c r="J4" i="2"/>
  <c r="I4" i="2"/>
  <c r="H4" i="2"/>
  <c r="F4" i="2"/>
  <c r="E4" i="2"/>
  <c r="D4" i="2"/>
  <c r="C4" i="2"/>
  <c r="B4" i="2"/>
  <c r="IO3" i="2"/>
  <c r="IN3" i="2"/>
  <c r="IM3" i="2"/>
  <c r="IL3" i="2"/>
  <c r="IK3" i="2"/>
  <c r="IJ3" i="2"/>
  <c r="II3" i="2"/>
  <c r="IH3" i="2"/>
  <c r="IG3" i="2"/>
  <c r="IF3" i="2"/>
  <c r="IE3" i="2"/>
  <c r="ID3" i="2"/>
  <c r="IC3" i="2"/>
  <c r="IB3" i="2"/>
  <c r="IA3" i="2"/>
  <c r="HZ3" i="2"/>
  <c r="HY3" i="2"/>
  <c r="HX3" i="2"/>
  <c r="HV3" i="2"/>
  <c r="HU3" i="2"/>
  <c r="HT3" i="2"/>
  <c r="HS3" i="2"/>
  <c r="HR3" i="2"/>
  <c r="HI3" i="2"/>
  <c r="HH3" i="2"/>
  <c r="HG3" i="2"/>
  <c r="HF3" i="2"/>
  <c r="HE3" i="2"/>
  <c r="HD3" i="2"/>
  <c r="HC3" i="2"/>
  <c r="HB3" i="2"/>
  <c r="HA3" i="2"/>
  <c r="GZ3" i="2"/>
  <c r="GY3" i="2"/>
  <c r="GX3" i="2"/>
  <c r="GW3" i="2"/>
  <c r="GV3" i="2"/>
  <c r="GU3" i="2"/>
  <c r="GT3" i="2"/>
  <c r="GS3" i="2"/>
  <c r="GR3" i="2"/>
  <c r="GP3" i="2"/>
  <c r="GO3" i="2"/>
  <c r="GN3" i="2"/>
  <c r="GM3" i="2"/>
  <c r="GL3" i="2"/>
  <c r="GC3" i="2"/>
  <c r="GB3" i="2"/>
  <c r="GA3" i="2"/>
  <c r="FZ3" i="2"/>
  <c r="FY3" i="2"/>
  <c r="FX3" i="2"/>
  <c r="FW3" i="2"/>
  <c r="FV3" i="2"/>
  <c r="FU3" i="2"/>
  <c r="FT3" i="2"/>
  <c r="FS3" i="2"/>
  <c r="FR3" i="2"/>
  <c r="FQ3" i="2"/>
  <c r="FP3" i="2"/>
  <c r="FO3" i="2"/>
  <c r="FN3" i="2"/>
  <c r="FM3" i="2"/>
  <c r="FL3" i="2"/>
  <c r="FJ3" i="2"/>
  <c r="FI3" i="2"/>
  <c r="FH3" i="2"/>
  <c r="FG3" i="2"/>
  <c r="FF3" i="2"/>
  <c r="EW3" i="2"/>
  <c r="EV3" i="2"/>
  <c r="EU3" i="2"/>
  <c r="ET3" i="2"/>
  <c r="ES3" i="2"/>
  <c r="ER3" i="2"/>
  <c r="EQ3" i="2"/>
  <c r="EP3" i="2"/>
  <c r="EO3" i="2"/>
  <c r="EN3" i="2"/>
  <c r="EM3" i="2"/>
  <c r="EL3" i="2"/>
  <c r="EK3" i="2"/>
  <c r="EJ3" i="2"/>
  <c r="EI3" i="2"/>
  <c r="EH3" i="2"/>
  <c r="EG3" i="2"/>
  <c r="EF3" i="2"/>
  <c r="ED3" i="2"/>
  <c r="EC3" i="2"/>
  <c r="EB3" i="2"/>
  <c r="EA3" i="2"/>
  <c r="DZ3" i="2"/>
  <c r="DQ3" i="2"/>
  <c r="DP3" i="2"/>
  <c r="DO3" i="2"/>
  <c r="DN3" i="2"/>
  <c r="DM3" i="2"/>
  <c r="DL3" i="2"/>
  <c r="DK3" i="2"/>
  <c r="DJ3" i="2"/>
  <c r="DI3" i="2"/>
  <c r="DH3" i="2"/>
  <c r="DG3" i="2"/>
  <c r="DF3" i="2"/>
  <c r="DE3" i="2"/>
  <c r="DD3" i="2"/>
  <c r="DC3" i="2"/>
  <c r="DB3" i="2"/>
  <c r="DA3" i="2"/>
  <c r="CZ3" i="2"/>
  <c r="CX3" i="2"/>
  <c r="CW3" i="2"/>
  <c r="CV3" i="2"/>
  <c r="CU3" i="2"/>
  <c r="CT3" i="2"/>
  <c r="CK3" i="2"/>
  <c r="CJ3" i="2"/>
  <c r="CI3" i="2"/>
  <c r="CH3" i="2"/>
  <c r="CG3" i="2"/>
  <c r="CF3" i="2"/>
  <c r="CE3" i="2"/>
  <c r="CD3" i="2"/>
  <c r="CC3" i="2"/>
  <c r="CB3" i="2"/>
  <c r="CA3" i="2"/>
  <c r="BZ3" i="2"/>
  <c r="BY3" i="2"/>
  <c r="BX3" i="2"/>
  <c r="BW3" i="2"/>
  <c r="BV3" i="2"/>
  <c r="BU3" i="2"/>
  <c r="BT3" i="2"/>
  <c r="BR3" i="2"/>
  <c r="BQ3" i="2"/>
  <c r="BP3" i="2"/>
  <c r="BO3" i="2"/>
  <c r="BN3" i="2"/>
  <c r="BE3" i="2"/>
  <c r="BD3" i="2"/>
  <c r="BC3" i="2"/>
  <c r="BB3" i="2"/>
  <c r="BA3" i="2"/>
  <c r="AZ3" i="2"/>
  <c r="AY3" i="2"/>
  <c r="AX3" i="2"/>
  <c r="AW3" i="2"/>
  <c r="AV3" i="2"/>
  <c r="AU3" i="2"/>
  <c r="AT3" i="2"/>
  <c r="AS3" i="2"/>
  <c r="AR3" i="2"/>
  <c r="AQ3" i="2"/>
  <c r="AP3" i="2"/>
  <c r="AO3" i="2"/>
  <c r="AN3" i="2"/>
  <c r="AL3" i="2"/>
  <c r="AK3" i="2"/>
  <c r="AJ3" i="2"/>
  <c r="AI3" i="2"/>
  <c r="AH3" i="2"/>
  <c r="Y3" i="2"/>
  <c r="X3" i="2"/>
  <c r="W3" i="2"/>
  <c r="V3" i="2"/>
  <c r="U3" i="2"/>
  <c r="T3" i="2"/>
  <c r="S3" i="2"/>
  <c r="R3" i="2"/>
  <c r="Q3" i="2"/>
  <c r="P3" i="2"/>
  <c r="O3" i="2"/>
  <c r="N3" i="2"/>
  <c r="M3" i="2"/>
  <c r="L3" i="2"/>
  <c r="K3" i="2"/>
  <c r="J3" i="2"/>
  <c r="I3" i="2"/>
  <c r="H3" i="2"/>
  <c r="F3" i="2"/>
  <c r="E3" i="2"/>
  <c r="D3" i="2"/>
  <c r="C3" i="2"/>
  <c r="B3" i="2"/>
  <c r="IO2" i="2"/>
  <c r="IN2" i="2"/>
  <c r="IM2" i="2"/>
  <c r="IL2" i="2"/>
  <c r="IK2" i="2"/>
  <c r="IJ2" i="2"/>
  <c r="II2" i="2"/>
  <c r="IH2" i="2"/>
  <c r="IG2" i="2"/>
  <c r="IF2" i="2"/>
  <c r="IE2" i="2"/>
  <c r="ID2" i="2"/>
  <c r="IC2" i="2"/>
  <c r="IB2" i="2"/>
  <c r="IA2" i="2"/>
  <c r="HZ2" i="2"/>
  <c r="HY2" i="2"/>
  <c r="HX2" i="2"/>
  <c r="HV2" i="2"/>
  <c r="HU2" i="2"/>
  <c r="HT2" i="2"/>
  <c r="HS2" i="2"/>
  <c r="HR2" i="2"/>
  <c r="HI2" i="2"/>
  <c r="HH2" i="2"/>
  <c r="HG2" i="2"/>
  <c r="HF2" i="2"/>
  <c r="HE2" i="2"/>
  <c r="HD2" i="2"/>
  <c r="HC2" i="2"/>
  <c r="HB2" i="2"/>
  <c r="HA2" i="2"/>
  <c r="GZ2" i="2"/>
  <c r="GY2" i="2"/>
  <c r="GX2" i="2"/>
  <c r="GW2" i="2"/>
  <c r="GV2" i="2"/>
  <c r="GU2" i="2"/>
  <c r="GT2" i="2"/>
  <c r="GS2" i="2"/>
  <c r="GR2" i="2"/>
  <c r="GP2" i="2"/>
  <c r="GO2" i="2"/>
  <c r="GN2" i="2"/>
  <c r="GM2" i="2"/>
  <c r="GL2" i="2"/>
  <c r="GC2" i="2"/>
  <c r="GB2" i="2"/>
  <c r="GA2" i="2"/>
  <c r="FZ2" i="2"/>
  <c r="FY2" i="2"/>
  <c r="FX2" i="2"/>
  <c r="FW2" i="2"/>
  <c r="FV2" i="2"/>
  <c r="FU2" i="2"/>
  <c r="FT2" i="2"/>
  <c r="FS2" i="2"/>
  <c r="FR2" i="2"/>
  <c r="FQ2" i="2"/>
  <c r="FP2" i="2"/>
  <c r="FO2" i="2"/>
  <c r="FN2" i="2"/>
  <c r="FM2" i="2"/>
  <c r="FL2" i="2"/>
  <c r="FJ2" i="2"/>
  <c r="FI2" i="2"/>
  <c r="FH2" i="2"/>
  <c r="FG2" i="2"/>
  <c r="FF2" i="2"/>
  <c r="EW2" i="2"/>
  <c r="EV2" i="2"/>
  <c r="EU2" i="2"/>
  <c r="ET2" i="2"/>
  <c r="ES2" i="2"/>
  <c r="ER2" i="2"/>
  <c r="EQ2" i="2"/>
  <c r="EP2" i="2"/>
  <c r="EO2" i="2"/>
  <c r="EN2" i="2"/>
  <c r="EM2" i="2"/>
  <c r="EL2" i="2"/>
  <c r="EK2" i="2"/>
  <c r="EJ2" i="2"/>
  <c r="EI2" i="2"/>
  <c r="EH2" i="2"/>
  <c r="EG2" i="2"/>
  <c r="EF2" i="2"/>
  <c r="ED2" i="2"/>
  <c r="EC2" i="2"/>
  <c r="EB2" i="2"/>
  <c r="EA2" i="2"/>
  <c r="DZ2" i="2"/>
  <c r="DQ2" i="2"/>
  <c r="DP2" i="2"/>
  <c r="DO2" i="2"/>
  <c r="DN2" i="2"/>
  <c r="DM2" i="2"/>
  <c r="DL2" i="2"/>
  <c r="DK2" i="2"/>
  <c r="DJ2" i="2"/>
  <c r="DI2" i="2"/>
  <c r="DH2" i="2"/>
  <c r="DG2" i="2"/>
  <c r="DF2" i="2"/>
  <c r="DE2" i="2"/>
  <c r="DD2" i="2"/>
  <c r="DC2" i="2"/>
  <c r="DB2" i="2"/>
  <c r="DA2" i="2"/>
  <c r="CZ2" i="2"/>
  <c r="CX2" i="2"/>
  <c r="CW2" i="2"/>
  <c r="CV2" i="2"/>
  <c r="CU2" i="2"/>
  <c r="CT2" i="2"/>
  <c r="CK2" i="2"/>
  <c r="CJ2" i="2"/>
  <c r="CI2" i="2"/>
  <c r="CH2" i="2"/>
  <c r="CG2" i="2"/>
  <c r="CF2" i="2"/>
  <c r="CE2" i="2"/>
  <c r="CD2" i="2"/>
  <c r="CC2" i="2"/>
  <c r="CB2" i="2"/>
  <c r="CA2" i="2"/>
  <c r="BZ2" i="2"/>
  <c r="BY2" i="2"/>
  <c r="BX2" i="2"/>
  <c r="BW2" i="2"/>
  <c r="BV2" i="2"/>
  <c r="BU2" i="2"/>
  <c r="BT2" i="2"/>
  <c r="BR2" i="2"/>
  <c r="BQ2" i="2"/>
  <c r="BP2" i="2"/>
  <c r="BO2" i="2"/>
  <c r="BN2" i="2"/>
  <c r="BE2" i="2"/>
  <c r="BD2" i="2"/>
  <c r="BC2" i="2"/>
  <c r="BB2" i="2"/>
  <c r="BA2" i="2"/>
  <c r="AZ2" i="2"/>
  <c r="AY2" i="2"/>
  <c r="AX2" i="2"/>
  <c r="AW2" i="2"/>
  <c r="AV2" i="2"/>
  <c r="AU2" i="2"/>
  <c r="AT2" i="2"/>
  <c r="AS2" i="2"/>
  <c r="AR2" i="2"/>
  <c r="AQ2" i="2"/>
  <c r="AP2" i="2"/>
  <c r="AO2" i="2"/>
  <c r="AN2" i="2"/>
  <c r="AL2" i="2"/>
  <c r="AK2" i="2"/>
  <c r="AJ2" i="2"/>
  <c r="AI2" i="2"/>
  <c r="AH2" i="2"/>
  <c r="Y2" i="2"/>
  <c r="X2" i="2"/>
  <c r="W2" i="2"/>
  <c r="V2" i="2"/>
  <c r="U2" i="2"/>
  <c r="T2" i="2"/>
  <c r="S2" i="2"/>
  <c r="R2" i="2"/>
  <c r="Q2" i="2"/>
  <c r="P2" i="2"/>
  <c r="O2" i="2"/>
  <c r="N2" i="2"/>
  <c r="M2" i="2"/>
  <c r="L2" i="2"/>
  <c r="K2" i="2"/>
  <c r="J2" i="2"/>
  <c r="I2" i="2"/>
  <c r="H2" i="2"/>
  <c r="F2" i="2"/>
  <c r="E2" i="2"/>
  <c r="D2" i="2"/>
  <c r="C2" i="2"/>
  <c r="B2" i="2"/>
  <c r="IO1" i="2"/>
  <c r="IN1" i="2"/>
  <c r="IM1" i="2"/>
  <c r="IL1" i="2"/>
  <c r="IK1" i="2"/>
  <c r="IJ1" i="2"/>
  <c r="II1" i="2"/>
  <c r="IH1" i="2"/>
  <c r="IG1" i="2"/>
  <c r="IF1" i="2"/>
  <c r="IE1" i="2"/>
  <c r="ID1" i="2"/>
  <c r="IC1" i="2"/>
  <c r="IB1" i="2"/>
  <c r="IA1" i="2"/>
  <c r="HZ1" i="2"/>
  <c r="HY1" i="2"/>
  <c r="HX1" i="2"/>
  <c r="HV1" i="2"/>
  <c r="HU1" i="2"/>
  <c r="HT1" i="2"/>
  <c r="HS1" i="2"/>
  <c r="HR1" i="2"/>
  <c r="HI1" i="2"/>
  <c r="HH1" i="2"/>
  <c r="HG1" i="2"/>
  <c r="HF1" i="2"/>
  <c r="HE1" i="2"/>
  <c r="HD1" i="2"/>
  <c r="HC1" i="2"/>
  <c r="HB1" i="2"/>
  <c r="HA1" i="2"/>
  <c r="GZ1" i="2"/>
  <c r="GY1" i="2"/>
  <c r="GX1" i="2"/>
  <c r="GW1" i="2"/>
  <c r="GV1" i="2"/>
  <c r="GU1" i="2"/>
  <c r="GT1" i="2"/>
  <c r="GS1" i="2"/>
  <c r="GR1" i="2"/>
  <c r="GP1" i="2"/>
  <c r="GO1" i="2"/>
  <c r="GN1" i="2"/>
  <c r="GM1" i="2"/>
  <c r="GL1" i="2"/>
  <c r="GC1" i="2"/>
  <c r="GB1" i="2"/>
  <c r="GA1" i="2"/>
  <c r="FZ1" i="2"/>
  <c r="FY1" i="2"/>
  <c r="FX1" i="2"/>
  <c r="FW1" i="2"/>
  <c r="FV1" i="2"/>
  <c r="FU1" i="2"/>
  <c r="FT1" i="2"/>
  <c r="FS1" i="2"/>
  <c r="FR1" i="2"/>
  <c r="FQ1" i="2"/>
  <c r="FP1" i="2"/>
  <c r="FO1" i="2"/>
  <c r="FN1" i="2"/>
  <c r="FM1" i="2"/>
  <c r="FL1" i="2"/>
  <c r="FJ1" i="2"/>
  <c r="FI1" i="2"/>
  <c r="FH1" i="2"/>
  <c r="FG1" i="2"/>
  <c r="FF1" i="2"/>
  <c r="EW1" i="2"/>
  <c r="EV1" i="2"/>
  <c r="EU1" i="2"/>
  <c r="ET1" i="2"/>
  <c r="ES1" i="2"/>
  <c r="ER1" i="2"/>
  <c r="EQ1" i="2"/>
  <c r="EP1" i="2"/>
  <c r="EO1" i="2"/>
  <c r="EN1" i="2"/>
  <c r="EM1" i="2"/>
  <c r="EL1" i="2"/>
  <c r="EK1" i="2"/>
  <c r="EJ1" i="2"/>
  <c r="EI1" i="2"/>
  <c r="EH1" i="2"/>
  <c r="EG1" i="2"/>
  <c r="EF1" i="2"/>
  <c r="ED1" i="2"/>
  <c r="EC1" i="2"/>
  <c r="EB1" i="2"/>
  <c r="EA1" i="2"/>
  <c r="DZ1" i="2"/>
  <c r="DQ1" i="2"/>
  <c r="DP1" i="2"/>
  <c r="DO1" i="2"/>
  <c r="DN1" i="2"/>
  <c r="DM1" i="2"/>
  <c r="DL1" i="2"/>
  <c r="DK1" i="2"/>
  <c r="DJ1" i="2"/>
  <c r="DI1" i="2"/>
  <c r="DH1" i="2"/>
  <c r="DG1" i="2"/>
  <c r="DF1" i="2"/>
  <c r="DE1" i="2"/>
  <c r="DD1" i="2"/>
  <c r="DC1" i="2"/>
  <c r="DB1" i="2"/>
  <c r="DA1" i="2"/>
  <c r="CZ1" i="2"/>
  <c r="CX1" i="2"/>
  <c r="CW1" i="2"/>
  <c r="CV1" i="2"/>
  <c r="CU1" i="2"/>
  <c r="CT1" i="2"/>
  <c r="CK1" i="2"/>
  <c r="CJ1" i="2"/>
  <c r="CI1" i="2"/>
  <c r="CH1" i="2"/>
  <c r="CG1" i="2"/>
  <c r="CF1" i="2"/>
  <c r="CE1" i="2"/>
  <c r="CD1" i="2"/>
  <c r="CC1" i="2"/>
  <c r="CB1" i="2"/>
  <c r="CA1" i="2"/>
  <c r="BZ1" i="2"/>
  <c r="BY1" i="2"/>
  <c r="BX1" i="2"/>
  <c r="BW1" i="2"/>
  <c r="BV1" i="2"/>
  <c r="BU1" i="2"/>
  <c r="BT1" i="2"/>
  <c r="BR1" i="2"/>
  <c r="BQ1" i="2"/>
  <c r="BP1" i="2"/>
  <c r="BO1" i="2"/>
  <c r="BN1" i="2"/>
  <c r="BE1" i="2"/>
  <c r="BD1" i="2"/>
  <c r="BC1" i="2"/>
  <c r="BB1" i="2"/>
  <c r="BA1" i="2"/>
  <c r="AZ1" i="2"/>
  <c r="AY1" i="2"/>
  <c r="AX1" i="2"/>
  <c r="AW1" i="2"/>
  <c r="AV1" i="2"/>
  <c r="AU1" i="2"/>
  <c r="AT1" i="2"/>
  <c r="AS1" i="2"/>
  <c r="AR1" i="2"/>
  <c r="AQ1" i="2"/>
  <c r="AP1" i="2"/>
  <c r="AO1" i="2"/>
  <c r="AN1" i="2"/>
  <c r="AL1" i="2"/>
  <c r="AK1" i="2"/>
  <c r="AJ1" i="2"/>
  <c r="AI1" i="2"/>
  <c r="AH1" i="2"/>
  <c r="Y1" i="2"/>
  <c r="X1" i="2"/>
  <c r="W1" i="2"/>
  <c r="V1" i="2"/>
  <c r="U1" i="2"/>
  <c r="T1" i="2"/>
  <c r="S1" i="2"/>
  <c r="R1" i="2"/>
  <c r="Q1" i="2"/>
  <c r="P1" i="2"/>
  <c r="O1" i="2"/>
  <c r="N1" i="2"/>
  <c r="M1" i="2"/>
  <c r="L1" i="2"/>
  <c r="K1" i="2"/>
  <c r="J1" i="2"/>
  <c r="I1" i="2"/>
  <c r="H1" i="2"/>
  <c r="F1" i="2"/>
  <c r="E1" i="2"/>
  <c r="D1" i="2"/>
  <c r="C1" i="2"/>
  <c r="B1" i="2"/>
  <c r="D63" i="1"/>
  <c r="D3" i="1"/>
</calcChain>
</file>

<file path=xl/sharedStrings.xml><?xml version="1.0" encoding="utf-8"?>
<sst xmlns="http://schemas.openxmlformats.org/spreadsheetml/2006/main" count="896" uniqueCount="143">
  <si>
    <t>TWIN CITY OPEN - MINNEAPOLIS, MN</t>
  </si>
  <si>
    <t>Powerlifting Results Name</t>
  </si>
  <si>
    <t>Div</t>
  </si>
  <si>
    <t>Weight Class</t>
  </si>
  <si>
    <t>Wilks Coeff</t>
  </si>
  <si>
    <t>Age Coeff</t>
  </si>
  <si>
    <t>SQ-1</t>
  </si>
  <si>
    <t>SQ-2</t>
  </si>
  <si>
    <t>SQ-3</t>
  </si>
  <si>
    <t>Best SQ</t>
  </si>
  <si>
    <t>BP-1</t>
  </si>
  <si>
    <t>BP-2</t>
  </si>
  <si>
    <t>BP-3</t>
  </si>
  <si>
    <t>Best BP</t>
  </si>
  <si>
    <t>Sub Total</t>
  </si>
  <si>
    <t>DL-1</t>
  </si>
  <si>
    <t>DL-2</t>
  </si>
  <si>
    <t>DL-3</t>
  </si>
  <si>
    <t>Best DL</t>
  </si>
  <si>
    <t>(1) PL Total</t>
  </si>
  <si>
    <t>(2)          Wilks Pts</t>
  </si>
  <si>
    <t>(3)       Age-Wilks</t>
  </si>
  <si>
    <t>Pl-Div- WtCls-Evt</t>
  </si>
  <si>
    <t>MALE  GEARED MASTER</t>
  </si>
  <si>
    <t>GARY GRAHN</t>
  </si>
  <si>
    <t>M-M</t>
  </si>
  <si>
    <t>1-M-M-PL</t>
  </si>
  <si>
    <t>MALE  GEARED OPEN</t>
  </si>
  <si>
    <t>ELISEO ORTEGA</t>
  </si>
  <si>
    <t>M-O</t>
  </si>
  <si>
    <t>1-M-O-PL</t>
  </si>
  <si>
    <t>MALE MASTER RAW</t>
  </si>
  <si>
    <t>ERIC MAKI</t>
  </si>
  <si>
    <t>MR-M</t>
  </si>
  <si>
    <t>1-MR-M-PL</t>
  </si>
  <si>
    <t>SID REID</t>
  </si>
  <si>
    <t>2-MR-M-PL</t>
  </si>
  <si>
    <t>JOHN (JJ) AUSTRIAN</t>
  </si>
  <si>
    <t>3-MR-M-PL</t>
  </si>
  <si>
    <t>MALE OPEN RAW</t>
  </si>
  <si>
    <t>NICK GAGNON</t>
  </si>
  <si>
    <t>MR-O</t>
  </si>
  <si>
    <t>1-MR-O-PL</t>
  </si>
  <si>
    <t>BEN ROEHL</t>
  </si>
  <si>
    <t>2-MR-O-PL</t>
  </si>
  <si>
    <t>ERIC LOHMAN</t>
  </si>
  <si>
    <t>3-MR-O-PL</t>
  </si>
  <si>
    <t>PAUL ALBERTS</t>
  </si>
  <si>
    <t>4-MR-O-PL</t>
  </si>
  <si>
    <t>CHRIS ORTENDAHL</t>
  </si>
  <si>
    <t>5-MR-O-PL</t>
  </si>
  <si>
    <t>BRIAN TRUSSEL</t>
  </si>
  <si>
    <t>6-MR-O-PL</t>
  </si>
  <si>
    <t>ROBERT RABASCO</t>
  </si>
  <si>
    <t>7-MR-O-PL</t>
  </si>
  <si>
    <t>CHRISTIAN FITE</t>
  </si>
  <si>
    <t>8-MR-O-PL</t>
  </si>
  <si>
    <t>MICHAEL CHRISTIE</t>
  </si>
  <si>
    <t>125+</t>
  </si>
  <si>
    <t>9-MR-O-PL</t>
  </si>
  <si>
    <t>JAKE HEATH</t>
  </si>
  <si>
    <t>10-MR-O-PL</t>
  </si>
  <si>
    <t>ANDY BECKWITH</t>
  </si>
  <si>
    <t>11-MR-O-PL</t>
  </si>
  <si>
    <t>BRAD KARELS</t>
  </si>
  <si>
    <t>12-MR-O-PL</t>
  </si>
  <si>
    <t>CALLISTUS SCHISSEL</t>
  </si>
  <si>
    <t>MALE JUNIOR RAW</t>
  </si>
  <si>
    <t>SPENCER JOHNSON</t>
  </si>
  <si>
    <t>MR-J</t>
  </si>
  <si>
    <t>1-MR-J-PL</t>
  </si>
  <si>
    <t>DANIEL RAIMONDI</t>
  </si>
  <si>
    <t>2-MR-J-PL</t>
  </si>
  <si>
    <t>JOE WELLS</t>
  </si>
  <si>
    <t>3-MR-J-PL</t>
  </si>
  <si>
    <t>CASEY DAY</t>
  </si>
  <si>
    <t>FEMALE GEARED OPEN</t>
  </si>
  <si>
    <t>MAURA SHUTTLEWORTH</t>
  </si>
  <si>
    <t>F-O</t>
  </si>
  <si>
    <t>1-F-O-PL</t>
  </si>
  <si>
    <t>FEMALE MASTER RAW</t>
  </si>
  <si>
    <t>ERIN KARELS</t>
  </si>
  <si>
    <t>FR-M</t>
  </si>
  <si>
    <t>1-FR-M-PL</t>
  </si>
  <si>
    <t>FEMALE OPEN RAW</t>
  </si>
  <si>
    <t>KRISTI TRUSSEL</t>
  </si>
  <si>
    <t>FR-O</t>
  </si>
  <si>
    <t>1-FR-O-PL</t>
  </si>
  <si>
    <t>TRACY CALL</t>
  </si>
  <si>
    <t>2-FR-O-PL</t>
  </si>
  <si>
    <t>SHERI STILES</t>
  </si>
  <si>
    <t>3-FR-O-PL</t>
  </si>
  <si>
    <t>AJ AXTELL</t>
  </si>
  <si>
    <t>4-FR-O-PL</t>
  </si>
  <si>
    <t>SARA LASSIG</t>
  </si>
  <si>
    <t>5-FR-O-PL</t>
  </si>
  <si>
    <t>NICOLE ROEHL</t>
  </si>
  <si>
    <t>6-FR-O-PL</t>
  </si>
  <si>
    <t>JALA BEER</t>
  </si>
  <si>
    <t>7-FR-O-PL</t>
  </si>
  <si>
    <t>KJERSTI HANNEMAN</t>
  </si>
  <si>
    <t>8-FR-O-PL</t>
  </si>
  <si>
    <t>JENNIFER HALVORSON</t>
  </si>
  <si>
    <t>9-FR-O-PL</t>
  </si>
  <si>
    <t>KELLI GABRIELSON</t>
  </si>
  <si>
    <t>10-FR-O-PL</t>
  </si>
  <si>
    <t>KJERSTI BOHRER</t>
  </si>
  <si>
    <t>11-FR-O-PL</t>
  </si>
  <si>
    <t>JORDANA KOJA-VOLK</t>
  </si>
  <si>
    <t>12-FR-O-PL</t>
  </si>
  <si>
    <t>JANNINE LASALETA</t>
  </si>
  <si>
    <t>13-FR-O-PL</t>
  </si>
  <si>
    <t>LUCIA PAWLOWSKI</t>
  </si>
  <si>
    <t>14-FR-O-PL</t>
  </si>
  <si>
    <t>HANNAH WYDEVEN</t>
  </si>
  <si>
    <t>15-FR-O-PL</t>
  </si>
  <si>
    <t>WENDY HURD</t>
  </si>
  <si>
    <t>16-FR-O-PL</t>
  </si>
  <si>
    <t>Bench Press Results Name</t>
  </si>
  <si>
    <t>(1) Best BP</t>
  </si>
  <si>
    <t>MALE MASTER GEARED</t>
  </si>
  <si>
    <t>Ken Leisinger</t>
  </si>
  <si>
    <t>M-MBP</t>
  </si>
  <si>
    <t>1-M-MBP-BP</t>
  </si>
  <si>
    <t>MALE OPEN GEARED</t>
  </si>
  <si>
    <t>Jeff Chamberlain</t>
  </si>
  <si>
    <t>M-OBP</t>
  </si>
  <si>
    <t>1-M-OBP-BP</t>
  </si>
  <si>
    <t>2-M-OBP-BP</t>
  </si>
  <si>
    <t>Lee Salz</t>
  </si>
  <si>
    <t>MR-BP</t>
  </si>
  <si>
    <t>1-MR-BP-BP</t>
  </si>
  <si>
    <t>Vince Pozinski</t>
  </si>
  <si>
    <t>2-MR-BP-BP</t>
  </si>
  <si>
    <t>Ray Law</t>
  </si>
  <si>
    <t>3-MR-BP-BP</t>
  </si>
  <si>
    <t>AAAAAF+y6hI=</t>
  </si>
  <si>
    <t>#ERROR!:parse</t>
  </si>
  <si>
    <t>AAAAAAP+0wA=</t>
  </si>
  <si>
    <t>#VALUE!:noResult:No valid cells found for operation.</t>
  </si>
  <si>
    <t>#VALUE!:notNumber</t>
  </si>
  <si>
    <t>#REF!:refOutOfRange</t>
  </si>
  <si>
    <t>WtCls (kg)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</si>
</sst>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d/yy;@"/>
  </numFmts>
  <fonts count="19" x14ac:knownFonts="1">
    <font>
      <sz val="10"/>
      <color rgb="FF000000"/>
      <name val="Arial"/>
    </font>
    <font>
      <b/>
      <sz val="10"/>
      <color rgb="FF000000"/>
      <name val="Arial"/>
    </font>
    <font>
      <b/>
      <sz val="10"/>
      <color rgb="FF000000"/>
      <name val="Arial"/>
    </font>
    <font>
      <b/>
      <sz val="10"/>
      <color rgb="FF000000"/>
      <name val="Arial"/>
    </font>
    <font>
      <b/>
      <sz val="10"/>
      <color rgb="FF000000"/>
      <name val="Arial"/>
    </font>
    <font>
      <sz val="11"/>
      <color rgb="FF000000"/>
      <name val="Arial"/>
    </font>
    <font>
      <b/>
      <sz val="10"/>
      <color rgb="FF000000"/>
      <name val="Arial"/>
    </font>
    <font>
      <sz val="11"/>
      <color rgb="FF000000"/>
      <name val="Arial"/>
    </font>
    <font>
      <b/>
      <sz val="10"/>
      <color rgb="FF000000"/>
      <name val="Arial"/>
    </font>
    <font>
      <b/>
      <sz val="20"/>
      <color rgb="FF000000"/>
      <name val="Arial"/>
    </font>
    <font>
      <b/>
      <sz val="11"/>
      <color rgb="FF000000"/>
      <name val="Arial"/>
    </font>
    <font>
      <sz val="11"/>
      <color rgb="FF000000"/>
      <name val="Arial"/>
    </font>
    <font>
      <b/>
      <sz val="10"/>
      <color rgb="FF000000"/>
      <name val="Arial"/>
    </font>
    <font>
      <b/>
      <sz val="20"/>
      <color rgb="FF000000"/>
      <name val="Arial"/>
    </font>
    <font>
      <sz val="11"/>
      <color rgb="FF000000"/>
      <name val="Arial"/>
    </font>
    <font>
      <b/>
      <sz val="10"/>
      <color rgb="FF000000"/>
      <name val="Arial"/>
    </font>
    <font>
      <b/>
      <sz val="10"/>
      <color rgb="FF000000"/>
      <name val="Arial"/>
    </font>
    <font>
      <b/>
      <sz val="10"/>
      <color rgb="FF000000"/>
      <name val="Arial"/>
    </font>
    <font>
      <sz val="11"/>
      <color rgb="FF000000"/>
      <name val="Arial"/>
    </font>
  </fonts>
  <fills count="2">
    <fill>
      <patternFill patternType="none"/>
    </fill>
    <fill>
      <patternFill patternType="gray125"/>
    </fill>
  </fills>
  <borders count="21">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applyAlignment="1">
      <alignment wrapText="1"/>
    </xf>
    <xf numFmtId="164" fontId="2"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0" fillId="0" borderId="3" xfId="0" applyBorder="1" applyAlignment="1">
      <alignment wrapText="1"/>
    </xf>
    <xf numFmtId="164" fontId="4" fillId="0" borderId="4" xfId="0" applyNumberFormat="1" applyFont="1" applyBorder="1" applyAlignment="1">
      <alignment horizontal="center" vertical="center" wrapText="1"/>
    </xf>
    <xf numFmtId="0" fontId="5" fillId="0" borderId="0" xfId="0" applyFont="1"/>
    <xf numFmtId="0" fontId="6" fillId="0" borderId="5" xfId="0" applyFont="1" applyBorder="1"/>
    <xf numFmtId="0" fontId="0" fillId="0" borderId="6" xfId="0" applyBorder="1" applyAlignment="1">
      <alignment wrapText="1"/>
    </xf>
    <xf numFmtId="0" fontId="7" fillId="0" borderId="7" xfId="0" applyFont="1" applyBorder="1"/>
    <xf numFmtId="0" fontId="8" fillId="0" borderId="8" xfId="0" applyFont="1" applyBorder="1" applyAlignment="1">
      <alignment vertical="center" wrapText="1"/>
    </xf>
    <xf numFmtId="4" fontId="0" fillId="0" borderId="10" xfId="0" applyNumberFormat="1" applyBorder="1" applyAlignment="1">
      <alignment wrapText="1"/>
    </xf>
    <xf numFmtId="0" fontId="10" fillId="0" borderId="11" xfId="0" applyFont="1" applyBorder="1"/>
    <xf numFmtId="4" fontId="0" fillId="0" borderId="0" xfId="0" applyNumberFormat="1" applyAlignment="1">
      <alignment wrapText="1"/>
    </xf>
    <xf numFmtId="0" fontId="11" fillId="0" borderId="12" xfId="0" applyFont="1" applyBorder="1" applyAlignment="1">
      <alignment horizontal="center"/>
    </xf>
    <xf numFmtId="4" fontId="0" fillId="0" borderId="13" xfId="0" applyNumberFormat="1" applyBorder="1" applyAlignment="1">
      <alignment wrapText="1"/>
    </xf>
    <xf numFmtId="0" fontId="12" fillId="0" borderId="14" xfId="0" applyFont="1" applyBorder="1" applyAlignment="1">
      <alignment vertical="center" wrapText="1"/>
    </xf>
    <xf numFmtId="165" fontId="13" fillId="0" borderId="15" xfId="0" applyNumberFormat="1" applyFont="1" applyBorder="1" applyAlignment="1">
      <alignment horizontal="center" vertical="center"/>
    </xf>
    <xf numFmtId="4" fontId="14" fillId="0" borderId="16" xfId="0" applyNumberFormat="1" applyFont="1" applyBorder="1" applyAlignment="1">
      <alignment horizontal="center"/>
    </xf>
    <xf numFmtId="0" fontId="15" fillId="0" borderId="17" xfId="0" applyFont="1" applyBorder="1" applyAlignment="1">
      <alignment horizontal="center" vertical="center" wrapText="1"/>
    </xf>
    <xf numFmtId="0" fontId="16" fillId="0" borderId="18" xfId="0" applyFont="1" applyBorder="1" applyAlignment="1">
      <alignment horizontal="center" vertical="center" wrapText="1"/>
    </xf>
    <xf numFmtId="4" fontId="17" fillId="0" borderId="19" xfId="0" applyNumberFormat="1" applyFont="1" applyBorder="1" applyAlignment="1">
      <alignment horizontal="center" vertical="center" wrapText="1"/>
    </xf>
    <xf numFmtId="164" fontId="18" fillId="0" borderId="20" xfId="0" applyNumberFormat="1" applyFont="1" applyBorder="1" applyAlignment="1">
      <alignment horizontal="center"/>
    </xf>
    <xf numFmtId="0" fontId="9" fillId="0" borderId="9" xfId="0" applyFont="1" applyBorder="1" applyAlignment="1">
      <alignment horizontal="center" vertical="center"/>
    </xf>
    <xf numFmtId="0" fontId="0" fillId="0" borderId="3" xfId="0" applyBorder="1" applyAlignment="1">
      <alignment wrapText="1"/>
    </xf>
    <xf numFmtId="4" fontId="0" fillId="0" borderId="13" xfId="0" applyNumberFormat="1" applyBorder="1" applyAlignment="1">
      <alignment wrapText="1"/>
    </xf>
    <xf numFmtId="165" fontId="9" fillId="0" borderId="15" xfId="0" applyNumberFormat="1" applyFont="1" applyBorder="1" applyAlignment="1">
      <alignment horizontal="center" vertical="center"/>
    </xf>
    <xf numFmtId="0" fontId="0" fillId="0" borderId="13" xfId="0" applyBorder="1" applyAlignment="1">
      <alignment wrapText="1"/>
    </xf>
    <xf numFmtId="0" fontId="1" fillId="0" borderId="14" xfId="0" applyFont="1" applyBorder="1" applyAlignment="1">
      <alignment vertical="center" wrapText="1"/>
    </xf>
    <xf numFmtId="0" fontId="1" fillId="0" borderId="18" xfId="0"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8" xfId="0" applyFont="1" applyBorder="1" applyAlignment="1">
      <alignment vertical="center" wrapText="1"/>
    </xf>
    <xf numFmtId="0" fontId="1" fillId="0" borderId="20" xfId="0" applyFont="1" applyBorder="1" applyAlignment="1">
      <alignment horizontal="center" vertical="center" wrapText="1"/>
    </xf>
    <xf numFmtId="164" fontId="1" fillId="0" borderId="20" xfId="0" applyNumberFormat="1" applyFont="1" applyBorder="1" applyAlignment="1">
      <alignment horizontal="center" vertical="center" wrapText="1"/>
    </xf>
    <xf numFmtId="0" fontId="5" fillId="0" borderId="20" xfId="0" applyFont="1" applyBorder="1"/>
    <xf numFmtId="0" fontId="5" fillId="0" borderId="20" xfId="0" applyFont="1" applyBorder="1" applyAlignment="1">
      <alignment horizontal="center"/>
    </xf>
    <xf numFmtId="4" fontId="5" fillId="0" borderId="20" xfId="0" applyNumberFormat="1" applyFont="1" applyBorder="1" applyAlignment="1">
      <alignment horizontal="center"/>
    </xf>
    <xf numFmtId="0" fontId="10" fillId="0" borderId="20" xfId="0" applyFont="1" applyBorder="1"/>
    <xf numFmtId="0" fontId="1" fillId="0" borderId="20" xfId="0" applyFont="1" applyBorder="1"/>
    <xf numFmtId="0" fontId="0" fillId="0" borderId="13" xfId="0" applyBorder="1" applyAlignment="1">
      <alignment wrapText="1"/>
    </xf>
    <xf numFmtId="0" fontId="0" fillId="0" borderId="10" xfId="0" applyBorder="1" applyAlignment="1">
      <alignment wrapText="1"/>
    </xf>
    <xf numFmtId="164" fontId="5" fillId="0" borderId="20" xfId="0" applyNumberFormat="1" applyFont="1" applyBorder="1" applyAlignment="1">
      <alignment horizontal="center"/>
    </xf>
  </cellXfs>
  <cellStyles count="1">
    <cellStyle name="Normal" xfId="0" builtinId="0"/>
  </cellStyles>
  <dxfs count="4">
    <dxf>
      <font>
        <color rgb="FF000000"/>
      </font>
      <fill>
        <patternFill patternType="solid">
          <bgColor rgb="FFFFFFFF"/>
        </patternFill>
      </fill>
    </dxf>
    <dxf>
      <font>
        <color rgb="FF000000"/>
      </font>
      <fill>
        <patternFill patternType="solid">
          <bgColor rgb="FFFFFFFF"/>
        </patternFill>
      </fill>
    </dxf>
    <dxf>
      <font>
        <color rgb="FF000000"/>
      </font>
      <fill>
        <patternFill patternType="solid">
          <bgColor rgb="FFFFFFFF"/>
        </patternFill>
      </fill>
    </dxf>
    <dxf>
      <font>
        <color rgb="FF000000"/>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workbookViewId="0"/>
  </sheetViews>
  <sheetFormatPr defaultColWidth="9.140625" defaultRowHeight="15" customHeight="1" x14ac:dyDescent="0.2"/>
  <cols>
    <col min="1" max="1" width="24.7109375" customWidth="1"/>
    <col min="2" max="2" width="6.7109375" customWidth="1"/>
    <col min="3" max="3" width="7.5703125" customWidth="1"/>
    <col min="4" max="4" width="5.42578125" customWidth="1"/>
    <col min="5" max="5" width="10" customWidth="1"/>
    <col min="6" max="6" width="5.28515625" customWidth="1"/>
    <col min="7" max="7" width="6" customWidth="1"/>
    <col min="8" max="9" width="6.7109375" customWidth="1"/>
    <col min="10" max="10" width="7.42578125" customWidth="1"/>
    <col min="11" max="11" width="5.28515625" customWidth="1"/>
    <col min="12" max="13" width="6.7109375" customWidth="1"/>
    <col min="14" max="14" width="7.28515625" customWidth="1"/>
    <col min="15" max="15" width="8.28515625" customWidth="1"/>
    <col min="16" max="18" width="6.7109375" customWidth="1"/>
    <col min="19" max="19" width="7.140625" customWidth="1"/>
    <col min="20" max="20" width="5.28515625" customWidth="1"/>
    <col min="22" max="22" width="6.85546875" customWidth="1"/>
    <col min="23" max="23" width="11.42578125" customWidth="1"/>
  </cols>
  <sheetData>
    <row r="1" spans="1:23" ht="26.25" x14ac:dyDescent="0.2">
      <c r="A1" s="16">
        <v>40768</v>
      </c>
      <c r="B1" s="22" t="s">
        <v>0</v>
      </c>
      <c r="C1" s="23"/>
      <c r="D1" s="23"/>
      <c r="E1" s="24"/>
      <c r="F1" s="23"/>
      <c r="G1" s="23"/>
      <c r="H1" s="23"/>
      <c r="I1" s="23"/>
      <c r="J1" s="23"/>
      <c r="K1" s="23"/>
      <c r="L1" s="23"/>
      <c r="M1" s="23"/>
      <c r="N1" s="23"/>
      <c r="O1" s="23"/>
      <c r="P1" s="23"/>
      <c r="Q1" s="23"/>
      <c r="R1" s="23"/>
      <c r="S1" s="23"/>
      <c r="T1" s="23"/>
      <c r="U1" s="23"/>
      <c r="V1" s="23"/>
      <c r="W1" s="23"/>
    </row>
    <row r="2" spans="1:23" ht="15.75" customHeight="1" x14ac:dyDescent="0.2">
      <c r="E2" s="12"/>
    </row>
    <row r="3" spans="1:23" ht="39" customHeight="1" x14ac:dyDescent="0.2">
      <c r="A3" s="15" t="s">
        <v>1</v>
      </c>
      <c r="B3" s="19" t="s">
        <v>2</v>
      </c>
      <c r="C3" s="19" t="s">
        <v>3</v>
      </c>
      <c r="D3" s="19" t="str">
        <f>IF((C3="Bwt (lb)"),"WtCls (lb)","WtCls (kg)")</f>
        <v>WtCls (kg)</v>
      </c>
      <c r="E3" s="2" t="s">
        <v>4</v>
      </c>
      <c r="F3" s="19" t="s">
        <v>5</v>
      </c>
      <c r="G3" s="19" t="s">
        <v>6</v>
      </c>
      <c r="H3" s="19" t="s">
        <v>7</v>
      </c>
      <c r="I3" s="19" t="s">
        <v>8</v>
      </c>
      <c r="J3" s="19" t="s">
        <v>9</v>
      </c>
      <c r="K3" s="19" t="s">
        <v>10</v>
      </c>
      <c r="L3" s="19" t="s">
        <v>11</v>
      </c>
      <c r="M3" s="19" t="s">
        <v>12</v>
      </c>
      <c r="N3" s="19" t="s">
        <v>13</v>
      </c>
      <c r="O3" s="19" t="s">
        <v>14</v>
      </c>
      <c r="P3" s="19" t="s">
        <v>15</v>
      </c>
      <c r="Q3" s="19" t="s">
        <v>16</v>
      </c>
      <c r="R3" s="19" t="s">
        <v>17</v>
      </c>
      <c r="S3" s="19" t="s">
        <v>18</v>
      </c>
      <c r="T3" s="1" t="s">
        <v>19</v>
      </c>
      <c r="U3" s="1" t="s">
        <v>20</v>
      </c>
      <c r="V3" s="1" t="s">
        <v>21</v>
      </c>
      <c r="W3" s="19" t="s">
        <v>22</v>
      </c>
    </row>
    <row r="4" spans="1:23" ht="25.5" customHeight="1" x14ac:dyDescent="0.2">
      <c r="A4" s="9" t="s">
        <v>23</v>
      </c>
      <c r="B4" s="18"/>
      <c r="C4" s="18"/>
      <c r="D4" s="18"/>
      <c r="E4" s="20"/>
      <c r="F4" s="18"/>
      <c r="G4" s="18"/>
      <c r="H4" s="18"/>
      <c r="I4" s="18"/>
      <c r="J4" s="18"/>
      <c r="K4" s="18"/>
      <c r="L4" s="18"/>
      <c r="M4" s="18"/>
      <c r="N4" s="18"/>
      <c r="O4" s="18"/>
      <c r="P4" s="18"/>
      <c r="Q4" s="18"/>
      <c r="R4" s="18"/>
      <c r="S4" s="18"/>
      <c r="T4" s="4"/>
      <c r="U4" s="4"/>
      <c r="V4" s="4"/>
      <c r="W4" s="18"/>
    </row>
    <row r="5" spans="1:23" ht="14.25" x14ac:dyDescent="0.2">
      <c r="A5" s="8" t="s">
        <v>24</v>
      </c>
      <c r="B5" s="13" t="s">
        <v>25</v>
      </c>
      <c r="C5" s="13">
        <v>89.2</v>
      </c>
      <c r="D5" s="13">
        <v>90</v>
      </c>
      <c r="E5" s="17">
        <v>0.64130002260207997</v>
      </c>
      <c r="F5" s="13">
        <v>1.2250000000000001</v>
      </c>
      <c r="G5" s="13">
        <v>-185</v>
      </c>
      <c r="H5" s="13">
        <v>185</v>
      </c>
      <c r="I5" s="13">
        <v>-195</v>
      </c>
      <c r="J5" s="13">
        <v>185</v>
      </c>
      <c r="K5" s="13">
        <v>132.5</v>
      </c>
      <c r="L5" s="13">
        <v>140</v>
      </c>
      <c r="M5" s="13">
        <v>142.5</v>
      </c>
      <c r="N5" s="13">
        <v>142.5</v>
      </c>
      <c r="O5" s="13">
        <v>327.5</v>
      </c>
      <c r="P5" s="13">
        <v>180</v>
      </c>
      <c r="Q5" s="13">
        <v>200</v>
      </c>
      <c r="R5" s="13">
        <v>212.5</v>
      </c>
      <c r="S5" s="13">
        <v>212.5</v>
      </c>
      <c r="T5" s="13">
        <v>540</v>
      </c>
      <c r="U5" s="21">
        <v>346.30201220512402</v>
      </c>
      <c r="V5" s="21">
        <v>424.21996495127701</v>
      </c>
      <c r="W5" s="13" t="s">
        <v>26</v>
      </c>
    </row>
    <row r="6" spans="1:23" ht="14.25" x14ac:dyDescent="0.2">
      <c r="A6" s="8"/>
      <c r="B6" s="13"/>
      <c r="C6" s="13"/>
      <c r="D6" s="13"/>
      <c r="E6" s="17"/>
      <c r="F6" s="13"/>
      <c r="G6" s="13"/>
      <c r="H6" s="13"/>
      <c r="I6" s="13"/>
      <c r="J6" s="13"/>
      <c r="K6" s="13"/>
      <c r="L6" s="13"/>
      <c r="M6" s="13"/>
      <c r="N6" s="13"/>
      <c r="O6" s="13"/>
      <c r="P6" s="13"/>
      <c r="Q6" s="13"/>
      <c r="R6" s="13"/>
      <c r="S6" s="13"/>
      <c r="T6" s="13"/>
      <c r="U6" s="21"/>
      <c r="V6" s="21"/>
      <c r="W6" s="13"/>
    </row>
    <row r="7" spans="1:23" x14ac:dyDescent="0.25">
      <c r="A7" s="11" t="s">
        <v>27</v>
      </c>
      <c r="B7" s="13"/>
      <c r="C7" s="13"/>
      <c r="D7" s="13"/>
      <c r="E7" s="17"/>
      <c r="F7" s="13"/>
      <c r="G7" s="13"/>
      <c r="H7" s="13"/>
      <c r="I7" s="13"/>
      <c r="J7" s="13"/>
      <c r="K7" s="13"/>
      <c r="L7" s="13"/>
      <c r="M7" s="13"/>
      <c r="N7" s="13"/>
      <c r="O7" s="13"/>
      <c r="P7" s="13"/>
      <c r="Q7" s="13"/>
      <c r="R7" s="13"/>
      <c r="S7" s="13"/>
      <c r="T7" s="13"/>
      <c r="U7" s="21"/>
      <c r="V7" s="21"/>
      <c r="W7" s="13"/>
    </row>
    <row r="8" spans="1:23" ht="14.25" x14ac:dyDescent="0.2">
      <c r="A8" s="8" t="s">
        <v>28</v>
      </c>
      <c r="B8" s="13" t="s">
        <v>29</v>
      </c>
      <c r="C8" s="13">
        <v>100</v>
      </c>
      <c r="D8" s="13">
        <v>100</v>
      </c>
      <c r="E8" s="17">
        <v>0.60860002040863004</v>
      </c>
      <c r="F8" s="13">
        <v>1</v>
      </c>
      <c r="G8" s="13">
        <v>290</v>
      </c>
      <c r="H8" s="13">
        <v>305</v>
      </c>
      <c r="I8" s="13">
        <v>320</v>
      </c>
      <c r="J8" s="13">
        <v>320</v>
      </c>
      <c r="K8" s="13">
        <v>175</v>
      </c>
      <c r="L8" s="13">
        <v>182.5</v>
      </c>
      <c r="M8" s="13">
        <v>-192.5</v>
      </c>
      <c r="N8" s="13">
        <v>182.5</v>
      </c>
      <c r="O8" s="13">
        <v>502.5</v>
      </c>
      <c r="P8" s="13">
        <v>265</v>
      </c>
      <c r="Q8" s="13">
        <v>-275</v>
      </c>
      <c r="R8" s="13">
        <v>-275</v>
      </c>
      <c r="S8" s="13">
        <v>265</v>
      </c>
      <c r="T8" s="13">
        <v>767.5</v>
      </c>
      <c r="U8" s="21">
        <v>467.10051566362398</v>
      </c>
      <c r="V8" s="21">
        <v>0</v>
      </c>
      <c r="W8" s="13" t="s">
        <v>30</v>
      </c>
    </row>
    <row r="9" spans="1:23" ht="14.25" x14ac:dyDescent="0.2">
      <c r="A9" s="8"/>
      <c r="B9" s="13"/>
      <c r="C9" s="13"/>
      <c r="D9" s="13"/>
      <c r="E9" s="17"/>
      <c r="F9" s="13"/>
      <c r="G9" s="13"/>
      <c r="H9" s="13"/>
      <c r="I9" s="13"/>
      <c r="J9" s="13"/>
      <c r="K9" s="13"/>
      <c r="L9" s="13"/>
      <c r="M9" s="13"/>
      <c r="N9" s="13"/>
      <c r="O9" s="13"/>
      <c r="P9" s="13"/>
      <c r="Q9" s="13"/>
      <c r="R9" s="13"/>
      <c r="S9" s="13"/>
      <c r="T9" s="13"/>
      <c r="U9" s="21"/>
      <c r="V9" s="21"/>
      <c r="W9" s="13"/>
    </row>
    <row r="10" spans="1:23" x14ac:dyDescent="0.25">
      <c r="A10" s="11" t="s">
        <v>31</v>
      </c>
      <c r="B10" s="13"/>
      <c r="C10" s="13"/>
      <c r="D10" s="13"/>
      <c r="E10" s="17"/>
      <c r="F10" s="13"/>
      <c r="G10" s="13"/>
      <c r="H10" s="13"/>
      <c r="I10" s="13"/>
      <c r="J10" s="13"/>
      <c r="K10" s="13"/>
      <c r="L10" s="13"/>
      <c r="M10" s="13"/>
      <c r="N10" s="13"/>
      <c r="O10" s="13"/>
      <c r="P10" s="13"/>
      <c r="Q10" s="13"/>
      <c r="R10" s="13"/>
      <c r="S10" s="13"/>
      <c r="T10" s="13"/>
      <c r="U10" s="21"/>
      <c r="V10" s="21"/>
      <c r="W10" s="13"/>
    </row>
    <row r="11" spans="1:23" ht="14.25" x14ac:dyDescent="0.2">
      <c r="A11" s="8" t="s">
        <v>32</v>
      </c>
      <c r="B11" s="13" t="s">
        <v>33</v>
      </c>
      <c r="C11" s="13">
        <v>89.5</v>
      </c>
      <c r="D11" s="13">
        <v>90</v>
      </c>
      <c r="E11" s="17">
        <v>0.64020001888275002</v>
      </c>
      <c r="F11" s="13">
        <v>1.0429999999999999</v>
      </c>
      <c r="G11" s="13">
        <v>162.5</v>
      </c>
      <c r="H11" s="13">
        <v>177.5</v>
      </c>
      <c r="I11" s="13">
        <v>185</v>
      </c>
      <c r="J11" s="13">
        <v>185</v>
      </c>
      <c r="K11" s="13">
        <v>157.5</v>
      </c>
      <c r="L11" s="13">
        <v>165</v>
      </c>
      <c r="M11" s="13">
        <v>167.5</v>
      </c>
      <c r="N11" s="13">
        <v>167.5</v>
      </c>
      <c r="O11" s="13">
        <v>352.5</v>
      </c>
      <c r="P11" s="13">
        <v>210</v>
      </c>
      <c r="Q11" s="13">
        <v>225</v>
      </c>
      <c r="R11" s="13">
        <v>240</v>
      </c>
      <c r="S11" s="13">
        <v>240</v>
      </c>
      <c r="T11" s="13">
        <v>592.5</v>
      </c>
      <c r="U11" s="21">
        <v>379.31851118803002</v>
      </c>
      <c r="V11" s="21">
        <v>395.629207169116</v>
      </c>
      <c r="W11" s="13" t="s">
        <v>34</v>
      </c>
    </row>
    <row r="12" spans="1:23" ht="14.25" x14ac:dyDescent="0.2">
      <c r="A12" s="8" t="s">
        <v>35</v>
      </c>
      <c r="B12" s="13" t="s">
        <v>33</v>
      </c>
      <c r="C12" s="13">
        <v>81.2</v>
      </c>
      <c r="D12" s="13">
        <v>82.5</v>
      </c>
      <c r="E12" s="17">
        <v>0.67640000581741</v>
      </c>
      <c r="F12" s="13">
        <v>1.393</v>
      </c>
      <c r="G12" s="13">
        <v>150</v>
      </c>
      <c r="H12" s="13">
        <v>160</v>
      </c>
      <c r="I12" s="13">
        <v>-167.5</v>
      </c>
      <c r="J12" s="13">
        <v>160</v>
      </c>
      <c r="K12" s="13">
        <v>92.5</v>
      </c>
      <c r="L12" s="13">
        <v>97.5</v>
      </c>
      <c r="M12" s="13">
        <v>-102.5</v>
      </c>
      <c r="N12" s="13">
        <v>97.5</v>
      </c>
      <c r="O12" s="13">
        <v>257.5</v>
      </c>
      <c r="P12" s="13">
        <v>182.5</v>
      </c>
      <c r="Q12" s="13">
        <v>195</v>
      </c>
      <c r="R12" s="13">
        <v>-197.5</v>
      </c>
      <c r="S12" s="13">
        <v>195</v>
      </c>
      <c r="T12" s="13">
        <v>452.5</v>
      </c>
      <c r="U12" s="21">
        <v>306.07100263237999</v>
      </c>
      <c r="V12" s="21">
        <v>426.35690666690499</v>
      </c>
      <c r="W12" s="13" t="s">
        <v>36</v>
      </c>
    </row>
    <row r="13" spans="1:23" ht="14.25" x14ac:dyDescent="0.2">
      <c r="A13" s="8" t="s">
        <v>37</v>
      </c>
      <c r="B13" s="13" t="s">
        <v>33</v>
      </c>
      <c r="C13" s="13">
        <v>79.8</v>
      </c>
      <c r="D13" s="13">
        <v>82.5</v>
      </c>
      <c r="E13" s="17">
        <v>0.68379998207091996</v>
      </c>
      <c r="F13" s="13">
        <v>1.0309999999999999</v>
      </c>
      <c r="G13" s="13">
        <v>117.5</v>
      </c>
      <c r="H13" s="13">
        <v>130</v>
      </c>
      <c r="I13" s="13">
        <v>140</v>
      </c>
      <c r="J13" s="13">
        <v>140</v>
      </c>
      <c r="K13" s="13">
        <v>97.5</v>
      </c>
      <c r="L13" s="13">
        <v>-105</v>
      </c>
      <c r="M13" s="13">
        <v>-110</v>
      </c>
      <c r="N13" s="13">
        <v>97.5</v>
      </c>
      <c r="O13" s="13">
        <v>237.5</v>
      </c>
      <c r="P13" s="13">
        <v>160</v>
      </c>
      <c r="Q13" s="13">
        <v>185</v>
      </c>
      <c r="R13" s="13">
        <v>190</v>
      </c>
      <c r="S13" s="13">
        <v>190</v>
      </c>
      <c r="T13" s="13">
        <v>427.5</v>
      </c>
      <c r="U13" s="21">
        <v>292.32449233531997</v>
      </c>
      <c r="V13" s="21">
        <v>301.386551597714</v>
      </c>
      <c r="W13" s="13" t="s">
        <v>38</v>
      </c>
    </row>
    <row r="14" spans="1:23" ht="14.25" x14ac:dyDescent="0.2">
      <c r="A14" s="8"/>
      <c r="B14" s="13"/>
      <c r="C14" s="13"/>
      <c r="D14" s="13"/>
      <c r="E14" s="17"/>
      <c r="F14" s="13"/>
      <c r="G14" s="13"/>
      <c r="H14" s="13"/>
      <c r="I14" s="13"/>
      <c r="J14" s="13"/>
      <c r="K14" s="13"/>
      <c r="L14" s="13"/>
      <c r="M14" s="13"/>
      <c r="N14" s="13"/>
      <c r="O14" s="13"/>
      <c r="P14" s="13"/>
      <c r="Q14" s="13"/>
      <c r="R14" s="13"/>
      <c r="S14" s="13"/>
      <c r="T14" s="13"/>
      <c r="U14" s="21"/>
      <c r="V14" s="21"/>
      <c r="W14" s="13"/>
    </row>
    <row r="15" spans="1:23" x14ac:dyDescent="0.25">
      <c r="A15" s="11" t="s">
        <v>39</v>
      </c>
      <c r="B15" s="13"/>
      <c r="C15" s="13"/>
      <c r="D15" s="13"/>
      <c r="E15" s="17"/>
      <c r="F15" s="13"/>
      <c r="G15" s="13"/>
      <c r="H15" s="13"/>
      <c r="I15" s="13"/>
      <c r="J15" s="13"/>
      <c r="K15" s="13"/>
      <c r="L15" s="13"/>
      <c r="M15" s="13"/>
      <c r="N15" s="13"/>
      <c r="O15" s="13"/>
      <c r="P15" s="13"/>
      <c r="Q15" s="13"/>
      <c r="R15" s="13"/>
      <c r="S15" s="13"/>
      <c r="T15" s="13"/>
      <c r="U15" s="21"/>
      <c r="V15" s="21"/>
      <c r="W15" s="13"/>
    </row>
    <row r="16" spans="1:23" ht="14.25" x14ac:dyDescent="0.2">
      <c r="A16" s="8" t="s">
        <v>40</v>
      </c>
      <c r="B16" s="13" t="s">
        <v>41</v>
      </c>
      <c r="C16" s="13">
        <v>81.900000000000006</v>
      </c>
      <c r="D16" s="13">
        <v>82.5</v>
      </c>
      <c r="E16" s="17">
        <v>0.67290002107619995</v>
      </c>
      <c r="F16" s="13">
        <v>1</v>
      </c>
      <c r="G16" s="13">
        <v>215</v>
      </c>
      <c r="H16" s="13">
        <v>-230</v>
      </c>
      <c r="I16" s="13">
        <v>-235</v>
      </c>
      <c r="J16" s="13">
        <v>215</v>
      </c>
      <c r="K16" s="13">
        <v>145</v>
      </c>
      <c r="L16" s="13">
        <v>155</v>
      </c>
      <c r="M16" s="13">
        <v>-160</v>
      </c>
      <c r="N16" s="13">
        <v>155</v>
      </c>
      <c r="O16" s="13">
        <v>370</v>
      </c>
      <c r="P16" s="13">
        <v>230</v>
      </c>
      <c r="Q16" s="13">
        <v>-250</v>
      </c>
      <c r="R16" s="13">
        <v>0</v>
      </c>
      <c r="S16" s="13">
        <v>230</v>
      </c>
      <c r="T16" s="13">
        <v>600</v>
      </c>
      <c r="U16" s="21">
        <v>403.74001264572098</v>
      </c>
      <c r="V16" s="21">
        <v>403.74001264572098</v>
      </c>
      <c r="W16" s="13" t="s">
        <v>42</v>
      </c>
    </row>
    <row r="17" spans="1:23" ht="14.25" x14ac:dyDescent="0.2">
      <c r="A17" s="8" t="s">
        <v>43</v>
      </c>
      <c r="B17" s="13" t="s">
        <v>41</v>
      </c>
      <c r="C17" s="13">
        <v>96.1</v>
      </c>
      <c r="D17" s="13">
        <v>100</v>
      </c>
      <c r="E17" s="17">
        <v>0.61879998445510997</v>
      </c>
      <c r="F17" s="13">
        <v>1</v>
      </c>
      <c r="G17" s="13">
        <v>185</v>
      </c>
      <c r="H17" s="13">
        <v>197.5</v>
      </c>
      <c r="I17" s="13">
        <v>200</v>
      </c>
      <c r="J17" s="13">
        <v>200</v>
      </c>
      <c r="K17" s="13">
        <v>165</v>
      </c>
      <c r="L17" s="13">
        <v>-177.5</v>
      </c>
      <c r="M17" s="13">
        <v>-177.5</v>
      </c>
      <c r="N17" s="13">
        <v>165</v>
      </c>
      <c r="O17" s="13">
        <v>365</v>
      </c>
      <c r="P17" s="13">
        <v>262.5</v>
      </c>
      <c r="Q17" s="13">
        <v>-285</v>
      </c>
      <c r="R17" s="13">
        <v>-285</v>
      </c>
      <c r="S17" s="13">
        <v>262.5</v>
      </c>
      <c r="T17" s="13">
        <v>627.5</v>
      </c>
      <c r="U17" s="21">
        <v>388.29699024558101</v>
      </c>
      <c r="V17" s="21">
        <v>0</v>
      </c>
      <c r="W17" s="13" t="s">
        <v>44</v>
      </c>
    </row>
    <row r="18" spans="1:23" ht="14.25" x14ac:dyDescent="0.2">
      <c r="A18" s="8" t="s">
        <v>45</v>
      </c>
      <c r="B18" s="13" t="s">
        <v>41</v>
      </c>
      <c r="C18" s="13">
        <v>86.5</v>
      </c>
      <c r="D18" s="13">
        <v>90</v>
      </c>
      <c r="E18" s="17">
        <v>0.65189999341964999</v>
      </c>
      <c r="F18" s="13">
        <v>1.01</v>
      </c>
      <c r="G18" s="13">
        <v>195</v>
      </c>
      <c r="H18" s="13">
        <v>205</v>
      </c>
      <c r="I18" s="13">
        <v>-215</v>
      </c>
      <c r="J18" s="13">
        <v>205</v>
      </c>
      <c r="K18" s="13">
        <v>130</v>
      </c>
      <c r="L18" s="13">
        <v>137.5</v>
      </c>
      <c r="M18" s="13">
        <v>140</v>
      </c>
      <c r="N18" s="13">
        <v>140</v>
      </c>
      <c r="O18" s="13">
        <v>345</v>
      </c>
      <c r="P18" s="13">
        <v>210</v>
      </c>
      <c r="Q18" s="13">
        <v>222.5</v>
      </c>
      <c r="R18" s="13">
        <v>230</v>
      </c>
      <c r="S18" s="13">
        <v>230</v>
      </c>
      <c r="T18" s="13">
        <v>575</v>
      </c>
      <c r="U18" s="21">
        <v>374.84249621629698</v>
      </c>
      <c r="V18" s="21">
        <v>378.59092117846001</v>
      </c>
      <c r="W18" s="13" t="s">
        <v>46</v>
      </c>
    </row>
    <row r="19" spans="1:23" ht="14.25" x14ac:dyDescent="0.2">
      <c r="A19" s="8" t="s">
        <v>47</v>
      </c>
      <c r="B19" s="13" t="s">
        <v>41</v>
      </c>
      <c r="C19" s="13">
        <v>97.6</v>
      </c>
      <c r="D19" s="13">
        <v>100</v>
      </c>
      <c r="E19" s="17">
        <v>0.61470001935958996</v>
      </c>
      <c r="F19" s="13">
        <v>1</v>
      </c>
      <c r="G19" s="13">
        <v>195</v>
      </c>
      <c r="H19" s="13">
        <v>210</v>
      </c>
      <c r="I19" s="13">
        <v>-222.5</v>
      </c>
      <c r="J19" s="13">
        <v>210</v>
      </c>
      <c r="K19" s="13">
        <v>140</v>
      </c>
      <c r="L19" s="13">
        <v>147.5</v>
      </c>
      <c r="M19" s="13">
        <v>-150</v>
      </c>
      <c r="N19" s="13">
        <v>147.5</v>
      </c>
      <c r="O19" s="13">
        <v>357.5</v>
      </c>
      <c r="P19" s="13">
        <v>227.5</v>
      </c>
      <c r="Q19" s="13">
        <v>237.5</v>
      </c>
      <c r="R19" s="13">
        <v>240</v>
      </c>
      <c r="S19" s="13">
        <v>240</v>
      </c>
      <c r="T19" s="13">
        <v>597.5</v>
      </c>
      <c r="U19" s="21">
        <v>367.28326156735397</v>
      </c>
      <c r="V19" s="21">
        <v>0</v>
      </c>
      <c r="W19" s="13" t="s">
        <v>48</v>
      </c>
    </row>
    <row r="20" spans="1:23" ht="14.25" x14ac:dyDescent="0.2">
      <c r="A20" s="8" t="s">
        <v>49</v>
      </c>
      <c r="B20" s="13" t="s">
        <v>41</v>
      </c>
      <c r="C20" s="13">
        <v>89</v>
      </c>
      <c r="D20" s="13">
        <v>90</v>
      </c>
      <c r="E20" s="17">
        <v>0.64209997653961004</v>
      </c>
      <c r="F20" s="13">
        <v>1</v>
      </c>
      <c r="G20" s="13">
        <v>182.5</v>
      </c>
      <c r="H20" s="13">
        <v>190</v>
      </c>
      <c r="I20" s="13">
        <v>197.5</v>
      </c>
      <c r="J20" s="13">
        <v>197.5</v>
      </c>
      <c r="K20" s="13">
        <v>135</v>
      </c>
      <c r="L20" s="13">
        <v>140</v>
      </c>
      <c r="M20" s="13">
        <v>-145</v>
      </c>
      <c r="N20" s="13">
        <v>140</v>
      </c>
      <c r="O20" s="13">
        <v>337.5</v>
      </c>
      <c r="P20" s="13">
        <v>227.5</v>
      </c>
      <c r="Q20" s="13">
        <v>-240</v>
      </c>
      <c r="R20" s="13">
        <v>-240</v>
      </c>
      <c r="S20" s="13">
        <v>227.5</v>
      </c>
      <c r="T20" s="13">
        <v>565</v>
      </c>
      <c r="U20" s="21">
        <v>362.78648674488102</v>
      </c>
      <c r="V20" s="21">
        <v>0</v>
      </c>
      <c r="W20" s="13" t="s">
        <v>50</v>
      </c>
    </row>
    <row r="21" spans="1:23" ht="14.25" x14ac:dyDescent="0.2">
      <c r="A21" s="8" t="s">
        <v>51</v>
      </c>
      <c r="B21" s="13" t="s">
        <v>41</v>
      </c>
      <c r="C21" s="13">
        <v>95.7</v>
      </c>
      <c r="D21" s="13">
        <v>100</v>
      </c>
      <c r="E21" s="17">
        <v>0.62000000476837003</v>
      </c>
      <c r="F21" s="13">
        <v>1</v>
      </c>
      <c r="G21" s="13">
        <v>192.5</v>
      </c>
      <c r="H21" s="13">
        <v>-197.5</v>
      </c>
      <c r="I21" s="13">
        <v>215</v>
      </c>
      <c r="J21" s="13">
        <v>215</v>
      </c>
      <c r="K21" s="13">
        <v>137.5</v>
      </c>
      <c r="L21" s="13">
        <v>142.5</v>
      </c>
      <c r="M21" s="13">
        <v>147.5</v>
      </c>
      <c r="N21" s="13">
        <v>147.5</v>
      </c>
      <c r="O21" s="13">
        <v>362.5</v>
      </c>
      <c r="P21" s="13">
        <v>192.5</v>
      </c>
      <c r="Q21" s="13">
        <v>205</v>
      </c>
      <c r="R21" s="13">
        <v>215</v>
      </c>
      <c r="S21" s="13">
        <v>215</v>
      </c>
      <c r="T21" s="13">
        <v>577.5</v>
      </c>
      <c r="U21" s="21">
        <v>358.05000275373499</v>
      </c>
      <c r="V21" s="21">
        <v>0</v>
      </c>
      <c r="W21" s="13" t="s">
        <v>52</v>
      </c>
    </row>
    <row r="22" spans="1:23" ht="14.25" x14ac:dyDescent="0.2">
      <c r="A22" s="8" t="s">
        <v>53</v>
      </c>
      <c r="B22" s="13" t="s">
        <v>41</v>
      </c>
      <c r="C22" s="13">
        <v>78.2</v>
      </c>
      <c r="D22" s="13">
        <v>82.5</v>
      </c>
      <c r="E22" s="17">
        <v>0.69270002841948997</v>
      </c>
      <c r="F22" s="13">
        <v>1</v>
      </c>
      <c r="G22" s="13">
        <v>150</v>
      </c>
      <c r="H22" s="13">
        <v>162.5</v>
      </c>
      <c r="I22" s="13">
        <v>-172.5</v>
      </c>
      <c r="J22" s="13">
        <v>162.5</v>
      </c>
      <c r="K22" s="13">
        <v>112.5</v>
      </c>
      <c r="L22" s="13">
        <v>120</v>
      </c>
      <c r="M22" s="13">
        <v>-127.5</v>
      </c>
      <c r="N22" s="13">
        <v>120</v>
      </c>
      <c r="O22" s="13">
        <v>282.5</v>
      </c>
      <c r="P22" s="13">
        <v>182.5</v>
      </c>
      <c r="Q22" s="13">
        <v>205</v>
      </c>
      <c r="R22" s="13">
        <v>-220</v>
      </c>
      <c r="S22" s="13">
        <v>205</v>
      </c>
      <c r="T22" s="13">
        <v>487.5</v>
      </c>
      <c r="U22" s="21">
        <v>337.69126385450397</v>
      </c>
      <c r="V22" s="21">
        <v>0</v>
      </c>
      <c r="W22" s="13" t="s">
        <v>54</v>
      </c>
    </row>
    <row r="23" spans="1:23" ht="14.25" x14ac:dyDescent="0.2">
      <c r="A23" s="8" t="s">
        <v>55</v>
      </c>
      <c r="B23" s="13" t="s">
        <v>41</v>
      </c>
      <c r="C23" s="13">
        <v>84.3</v>
      </c>
      <c r="D23" s="13">
        <v>90</v>
      </c>
      <c r="E23" s="17">
        <v>0.66149997711181996</v>
      </c>
      <c r="F23" s="13">
        <v>1</v>
      </c>
      <c r="G23" s="13">
        <v>170</v>
      </c>
      <c r="H23" s="13">
        <v>182.5</v>
      </c>
      <c r="I23" s="13">
        <v>190</v>
      </c>
      <c r="J23" s="13">
        <v>190</v>
      </c>
      <c r="K23" s="13">
        <v>95</v>
      </c>
      <c r="L23" s="13">
        <v>-105</v>
      </c>
      <c r="M23" s="13">
        <v>-105</v>
      </c>
      <c r="N23" s="13">
        <v>95</v>
      </c>
      <c r="O23" s="13">
        <v>285</v>
      </c>
      <c r="P23" s="13">
        <v>222.5</v>
      </c>
      <c r="Q23" s="13">
        <v>-242.5</v>
      </c>
      <c r="R23" s="13">
        <v>-242.5</v>
      </c>
      <c r="S23" s="13">
        <v>222.5</v>
      </c>
      <c r="T23" s="13">
        <v>507.5</v>
      </c>
      <c r="U23" s="21">
        <v>335.711238384247</v>
      </c>
      <c r="V23" s="21">
        <v>0</v>
      </c>
      <c r="W23" s="13" t="s">
        <v>56</v>
      </c>
    </row>
    <row r="24" spans="1:23" ht="14.25" x14ac:dyDescent="0.2">
      <c r="A24" s="8" t="s">
        <v>57</v>
      </c>
      <c r="B24" s="13" t="s">
        <v>41</v>
      </c>
      <c r="C24" s="13">
        <v>132.80000000000001</v>
      </c>
      <c r="D24" s="13" t="s">
        <v>58</v>
      </c>
      <c r="E24" s="17">
        <v>0.56349998712539995</v>
      </c>
      <c r="F24" s="13">
        <v>1</v>
      </c>
      <c r="G24" s="13">
        <v>185</v>
      </c>
      <c r="H24" s="13">
        <v>200</v>
      </c>
      <c r="I24" s="13">
        <v>-215</v>
      </c>
      <c r="J24" s="13">
        <v>200</v>
      </c>
      <c r="K24" s="13">
        <v>125</v>
      </c>
      <c r="L24" s="13">
        <v>135</v>
      </c>
      <c r="M24" s="13">
        <v>-140</v>
      </c>
      <c r="N24" s="13">
        <v>135</v>
      </c>
      <c r="O24" s="13">
        <v>335</v>
      </c>
      <c r="P24" s="13">
        <v>-187.5</v>
      </c>
      <c r="Q24" s="13">
        <v>187.5</v>
      </c>
      <c r="R24" s="13">
        <v>197.5</v>
      </c>
      <c r="S24" s="13">
        <v>197.5</v>
      </c>
      <c r="T24" s="13">
        <v>532.5</v>
      </c>
      <c r="U24" s="21">
        <v>300.06374314427399</v>
      </c>
      <c r="V24" s="21">
        <v>0</v>
      </c>
      <c r="W24" s="13" t="s">
        <v>59</v>
      </c>
    </row>
    <row r="25" spans="1:23" ht="14.25" x14ac:dyDescent="0.2">
      <c r="A25" s="8" t="s">
        <v>60</v>
      </c>
      <c r="B25" s="13" t="s">
        <v>41</v>
      </c>
      <c r="C25" s="13">
        <v>87.9</v>
      </c>
      <c r="D25" s="13">
        <v>90</v>
      </c>
      <c r="E25" s="17">
        <v>0.64630001783371005</v>
      </c>
      <c r="F25" s="13">
        <v>1</v>
      </c>
      <c r="G25" s="13">
        <v>140</v>
      </c>
      <c r="H25" s="13">
        <v>147.5</v>
      </c>
      <c r="I25" s="13">
        <v>155</v>
      </c>
      <c r="J25" s="13">
        <v>155</v>
      </c>
      <c r="K25" s="13">
        <v>92.5</v>
      </c>
      <c r="L25" s="13">
        <v>-100</v>
      </c>
      <c r="M25" s="13">
        <v>100</v>
      </c>
      <c r="N25" s="13">
        <v>100</v>
      </c>
      <c r="O25" s="13">
        <v>255</v>
      </c>
      <c r="P25" s="13">
        <v>180</v>
      </c>
      <c r="Q25" s="13">
        <v>190</v>
      </c>
      <c r="R25" s="13">
        <v>-197.5</v>
      </c>
      <c r="S25" s="13">
        <v>190</v>
      </c>
      <c r="T25" s="13">
        <v>445</v>
      </c>
      <c r="U25" s="21">
        <v>287.60350793600099</v>
      </c>
      <c r="V25" s="21">
        <v>0</v>
      </c>
      <c r="W25" s="13" t="s">
        <v>61</v>
      </c>
    </row>
    <row r="26" spans="1:23" ht="14.25" x14ac:dyDescent="0.2">
      <c r="A26" s="8" t="s">
        <v>62</v>
      </c>
      <c r="B26" s="13" t="s">
        <v>41</v>
      </c>
      <c r="C26" s="13">
        <v>98.3</v>
      </c>
      <c r="D26" s="13">
        <v>100</v>
      </c>
      <c r="E26" s="17">
        <v>0.61290001869202004</v>
      </c>
      <c r="F26" s="13">
        <v>1</v>
      </c>
      <c r="G26" s="13">
        <v>120</v>
      </c>
      <c r="H26" s="13">
        <v>127.5</v>
      </c>
      <c r="I26" s="13">
        <v>132.5</v>
      </c>
      <c r="J26" s="13">
        <v>132.5</v>
      </c>
      <c r="K26" s="13">
        <v>80</v>
      </c>
      <c r="L26" s="13">
        <v>87.5</v>
      </c>
      <c r="M26" s="13">
        <v>-92.5</v>
      </c>
      <c r="N26" s="13">
        <v>87.5</v>
      </c>
      <c r="O26" s="13">
        <v>220</v>
      </c>
      <c r="P26" s="13">
        <v>175</v>
      </c>
      <c r="Q26" s="13">
        <v>185</v>
      </c>
      <c r="R26" s="13">
        <v>192.5</v>
      </c>
      <c r="S26" s="13">
        <v>192.5</v>
      </c>
      <c r="T26" s="13">
        <v>412.5</v>
      </c>
      <c r="U26" s="21">
        <v>252.82125771045699</v>
      </c>
      <c r="V26" s="21">
        <v>0</v>
      </c>
      <c r="W26" s="13" t="s">
        <v>63</v>
      </c>
    </row>
    <row r="27" spans="1:23" ht="14.25" x14ac:dyDescent="0.2">
      <c r="A27" s="8" t="s">
        <v>64</v>
      </c>
      <c r="B27" s="13" t="s">
        <v>41</v>
      </c>
      <c r="C27" s="13">
        <v>79.3</v>
      </c>
      <c r="D27" s="13">
        <v>82.5</v>
      </c>
      <c r="E27" s="17">
        <v>0.68650001287460005</v>
      </c>
      <c r="F27" s="13">
        <v>1</v>
      </c>
      <c r="G27" s="13">
        <v>112.5</v>
      </c>
      <c r="H27" s="13">
        <v>-115</v>
      </c>
      <c r="I27" s="13">
        <v>-120</v>
      </c>
      <c r="J27" s="13">
        <v>112.5</v>
      </c>
      <c r="K27" s="13">
        <v>85</v>
      </c>
      <c r="L27" s="13">
        <v>-87.5</v>
      </c>
      <c r="M27" s="13">
        <v>-87.5</v>
      </c>
      <c r="N27" s="13">
        <v>85</v>
      </c>
      <c r="O27" s="13">
        <v>197.5</v>
      </c>
      <c r="P27" s="13">
        <v>137.5</v>
      </c>
      <c r="Q27" s="13">
        <v>145</v>
      </c>
      <c r="R27" s="13">
        <v>160</v>
      </c>
      <c r="S27" s="13">
        <v>160</v>
      </c>
      <c r="T27" s="13">
        <v>357.5</v>
      </c>
      <c r="U27" s="21">
        <v>245.42375460267101</v>
      </c>
      <c r="V27" s="21">
        <v>0</v>
      </c>
      <c r="W27" s="13" t="s">
        <v>65</v>
      </c>
    </row>
    <row r="28" spans="1:23" ht="14.25" x14ac:dyDescent="0.2">
      <c r="A28" s="8" t="s">
        <v>66</v>
      </c>
      <c r="B28" s="13" t="s">
        <v>41</v>
      </c>
      <c r="C28" s="13">
        <v>138.19999999999999</v>
      </c>
      <c r="D28" s="13" t="s">
        <v>58</v>
      </c>
      <c r="E28" s="17">
        <v>0.55989998579025002</v>
      </c>
      <c r="F28" s="13">
        <v>1.02</v>
      </c>
      <c r="G28" s="13">
        <v>230</v>
      </c>
      <c r="H28" s="13">
        <v>-250</v>
      </c>
      <c r="I28" s="13">
        <v>250</v>
      </c>
      <c r="J28" s="13">
        <v>250</v>
      </c>
      <c r="K28" s="13">
        <v>-215</v>
      </c>
      <c r="L28" s="13">
        <v>-215</v>
      </c>
      <c r="M28" s="13">
        <v>-215</v>
      </c>
      <c r="N28" s="13">
        <v>0</v>
      </c>
      <c r="O28" s="13">
        <v>0</v>
      </c>
      <c r="P28" s="13">
        <v>0</v>
      </c>
      <c r="Q28" s="13">
        <v>0</v>
      </c>
      <c r="R28" s="13"/>
      <c r="S28" s="13">
        <v>0</v>
      </c>
      <c r="T28" s="13">
        <v>0</v>
      </c>
      <c r="U28" s="21">
        <v>0</v>
      </c>
      <c r="V28" s="21">
        <v>0</v>
      </c>
      <c r="W28" s="13"/>
    </row>
    <row r="29" spans="1:23" ht="14.25" x14ac:dyDescent="0.2">
      <c r="A29" s="8"/>
      <c r="B29" s="13"/>
      <c r="C29" s="13"/>
      <c r="D29" s="13"/>
      <c r="E29" s="17"/>
      <c r="F29" s="13"/>
      <c r="G29" s="13"/>
      <c r="H29" s="13"/>
      <c r="I29" s="13"/>
      <c r="J29" s="13"/>
      <c r="K29" s="13"/>
      <c r="L29" s="13"/>
      <c r="M29" s="13"/>
      <c r="N29" s="13"/>
      <c r="O29" s="13"/>
      <c r="P29" s="13"/>
      <c r="Q29" s="13"/>
      <c r="R29" s="13"/>
      <c r="S29" s="13"/>
      <c r="T29" s="13"/>
      <c r="U29" s="21"/>
      <c r="V29" s="21"/>
      <c r="W29" s="13"/>
    </row>
    <row r="30" spans="1:23" ht="14.25" x14ac:dyDescent="0.2">
      <c r="A30" s="6" t="s">
        <v>67</v>
      </c>
      <c r="B30" s="13"/>
      <c r="C30" s="13"/>
      <c r="D30" s="13"/>
      <c r="E30" s="17"/>
      <c r="F30" s="13"/>
      <c r="G30" s="13"/>
      <c r="H30" s="13"/>
      <c r="I30" s="13"/>
      <c r="J30" s="13"/>
      <c r="K30" s="13"/>
      <c r="L30" s="13"/>
      <c r="M30" s="13"/>
      <c r="N30" s="13"/>
      <c r="O30" s="13"/>
      <c r="P30" s="13"/>
      <c r="Q30" s="13"/>
      <c r="R30" s="13"/>
      <c r="S30" s="13"/>
      <c r="T30" s="13"/>
      <c r="U30" s="21"/>
      <c r="V30" s="21"/>
      <c r="W30" s="13"/>
    </row>
    <row r="31" spans="1:23" ht="14.25" x14ac:dyDescent="0.2">
      <c r="A31" s="8" t="s">
        <v>68</v>
      </c>
      <c r="B31" s="13" t="s">
        <v>69</v>
      </c>
      <c r="C31" s="13">
        <v>68.400000000000006</v>
      </c>
      <c r="D31" s="13">
        <v>75</v>
      </c>
      <c r="E31" s="17">
        <v>0.76300001144409002</v>
      </c>
      <c r="F31" s="13">
        <v>1.04</v>
      </c>
      <c r="G31" s="13">
        <v>-150</v>
      </c>
      <c r="H31" s="13">
        <v>150</v>
      </c>
      <c r="I31" s="13">
        <v>-162.5</v>
      </c>
      <c r="J31" s="13">
        <v>150</v>
      </c>
      <c r="K31" s="13">
        <v>110</v>
      </c>
      <c r="L31" s="13">
        <v>120</v>
      </c>
      <c r="M31" s="13">
        <v>127.5</v>
      </c>
      <c r="N31" s="13">
        <v>127.5</v>
      </c>
      <c r="O31" s="13">
        <v>277.5</v>
      </c>
      <c r="P31" s="13">
        <v>185</v>
      </c>
      <c r="Q31" s="13">
        <v>197.5</v>
      </c>
      <c r="R31" s="13">
        <v>210</v>
      </c>
      <c r="S31" s="13">
        <v>210</v>
      </c>
      <c r="T31" s="13">
        <v>487.5</v>
      </c>
      <c r="U31" s="21">
        <v>371.96250557899498</v>
      </c>
      <c r="V31" s="21">
        <v>386.841005802155</v>
      </c>
      <c r="W31" s="13" t="s">
        <v>70</v>
      </c>
    </row>
    <row r="32" spans="1:23" ht="14.25" x14ac:dyDescent="0.2">
      <c r="A32" s="8" t="s">
        <v>71</v>
      </c>
      <c r="B32" s="13" t="s">
        <v>69</v>
      </c>
      <c r="C32" s="13">
        <v>73.599999999999994</v>
      </c>
      <c r="D32" s="13">
        <v>75</v>
      </c>
      <c r="E32" s="17">
        <v>0.72210001945496005</v>
      </c>
      <c r="F32" s="13">
        <v>1</v>
      </c>
      <c r="G32" s="13">
        <v>135</v>
      </c>
      <c r="H32" s="13">
        <v>150</v>
      </c>
      <c r="I32" s="13">
        <v>-165</v>
      </c>
      <c r="J32" s="13">
        <v>150</v>
      </c>
      <c r="K32" s="13">
        <v>97.5</v>
      </c>
      <c r="L32" s="13">
        <v>105</v>
      </c>
      <c r="M32" s="13">
        <v>110</v>
      </c>
      <c r="N32" s="13">
        <v>110</v>
      </c>
      <c r="O32" s="13">
        <v>260</v>
      </c>
      <c r="P32" s="13">
        <v>185</v>
      </c>
      <c r="Q32" s="13">
        <v>220</v>
      </c>
      <c r="R32" s="13">
        <v>-230</v>
      </c>
      <c r="S32" s="13">
        <v>220</v>
      </c>
      <c r="T32" s="13">
        <v>480</v>
      </c>
      <c r="U32" s="21">
        <v>346.60800933837902</v>
      </c>
      <c r="V32" s="21">
        <v>346.60800933837902</v>
      </c>
      <c r="W32" s="13" t="s">
        <v>72</v>
      </c>
    </row>
    <row r="33" spans="1:23" ht="14.25" x14ac:dyDescent="0.2">
      <c r="A33" s="8" t="s">
        <v>73</v>
      </c>
      <c r="B33" s="13" t="s">
        <v>69</v>
      </c>
      <c r="C33" s="13">
        <v>73.3</v>
      </c>
      <c r="D33" s="13">
        <v>75</v>
      </c>
      <c r="E33" s="17">
        <v>0.72420001029967995</v>
      </c>
      <c r="F33" s="13">
        <v>1.02</v>
      </c>
      <c r="G33" s="13">
        <v>102.5</v>
      </c>
      <c r="H33" s="13">
        <v>110</v>
      </c>
      <c r="I33" s="13">
        <v>-115</v>
      </c>
      <c r="J33" s="13">
        <v>110</v>
      </c>
      <c r="K33" s="13">
        <v>-75</v>
      </c>
      <c r="L33" s="13">
        <v>75</v>
      </c>
      <c r="M33" s="13">
        <v>-82.5</v>
      </c>
      <c r="N33" s="13">
        <v>75</v>
      </c>
      <c r="O33" s="13">
        <v>185</v>
      </c>
      <c r="P33" s="13">
        <v>142.5</v>
      </c>
      <c r="Q33" s="13">
        <v>150</v>
      </c>
      <c r="R33" s="13">
        <v>157.5</v>
      </c>
      <c r="S33" s="13">
        <v>157.5</v>
      </c>
      <c r="T33" s="13">
        <v>342.5</v>
      </c>
      <c r="U33" s="21">
        <v>248.03850352764101</v>
      </c>
      <c r="V33" s="21">
        <v>252.99927359819401</v>
      </c>
      <c r="W33" s="13" t="s">
        <v>74</v>
      </c>
    </row>
    <row r="34" spans="1:23" ht="14.25" x14ac:dyDescent="0.2">
      <c r="A34" s="8" t="s">
        <v>75</v>
      </c>
      <c r="B34" s="13" t="s">
        <v>69</v>
      </c>
      <c r="C34" s="13">
        <v>72.8</v>
      </c>
      <c r="D34" s="13">
        <v>75</v>
      </c>
      <c r="E34" s="17">
        <v>0.72780001163482999</v>
      </c>
      <c r="F34" s="13">
        <v>1.01</v>
      </c>
      <c r="G34" s="13">
        <v>185</v>
      </c>
      <c r="H34" s="13">
        <v>195</v>
      </c>
      <c r="I34" s="13">
        <v>-205</v>
      </c>
      <c r="J34" s="13">
        <v>195</v>
      </c>
      <c r="K34" s="13">
        <v>-110</v>
      </c>
      <c r="L34" s="13">
        <v>-115</v>
      </c>
      <c r="M34" s="13">
        <v>-115</v>
      </c>
      <c r="N34" s="13">
        <v>0</v>
      </c>
      <c r="O34" s="13">
        <v>0</v>
      </c>
      <c r="P34" s="13">
        <v>230</v>
      </c>
      <c r="Q34" s="13">
        <v>-242.5</v>
      </c>
      <c r="R34" s="13">
        <v>0</v>
      </c>
      <c r="S34" s="13">
        <v>230</v>
      </c>
      <c r="T34" s="13">
        <v>0</v>
      </c>
      <c r="U34" s="21">
        <v>0</v>
      </c>
      <c r="V34" s="21">
        <v>0</v>
      </c>
      <c r="W34" s="13"/>
    </row>
    <row r="35" spans="1:23" ht="14.25" x14ac:dyDescent="0.2">
      <c r="A35" s="8"/>
      <c r="B35" s="13"/>
      <c r="C35" s="13"/>
      <c r="D35" s="13"/>
      <c r="E35" s="17"/>
      <c r="F35" s="13"/>
      <c r="G35" s="13"/>
      <c r="H35" s="13"/>
      <c r="I35" s="13"/>
      <c r="J35" s="13"/>
      <c r="K35" s="13"/>
      <c r="L35" s="13"/>
      <c r="M35" s="13"/>
      <c r="N35" s="13"/>
      <c r="O35" s="13"/>
      <c r="P35" s="13"/>
      <c r="Q35" s="13"/>
      <c r="R35" s="13"/>
      <c r="S35" s="13"/>
      <c r="T35" s="13"/>
      <c r="U35" s="21"/>
      <c r="V35" s="21"/>
      <c r="W35" s="13"/>
    </row>
    <row r="36" spans="1:23" ht="14.25" x14ac:dyDescent="0.2">
      <c r="A36" s="6" t="s">
        <v>76</v>
      </c>
      <c r="B36" s="13"/>
      <c r="C36" s="13"/>
      <c r="D36" s="13"/>
      <c r="E36" s="17"/>
      <c r="F36" s="13"/>
      <c r="G36" s="13"/>
      <c r="H36" s="13"/>
      <c r="I36" s="13"/>
      <c r="J36" s="13"/>
      <c r="K36" s="13"/>
      <c r="L36" s="13"/>
      <c r="M36" s="13"/>
      <c r="N36" s="13"/>
      <c r="O36" s="13"/>
      <c r="P36" s="13"/>
      <c r="Q36" s="13"/>
      <c r="R36" s="13"/>
      <c r="S36" s="13"/>
      <c r="T36" s="13"/>
      <c r="U36" s="21"/>
      <c r="V36" s="21"/>
      <c r="W36" s="13"/>
    </row>
    <row r="37" spans="1:23" ht="14.25" x14ac:dyDescent="0.2">
      <c r="A37" s="8" t="s">
        <v>77</v>
      </c>
      <c r="B37" s="13" t="s">
        <v>78</v>
      </c>
      <c r="C37" s="13">
        <v>51.5</v>
      </c>
      <c r="D37" s="13">
        <v>52</v>
      </c>
      <c r="E37" s="17">
        <v>1.2560000419616699</v>
      </c>
      <c r="F37" s="13">
        <v>1</v>
      </c>
      <c r="G37" s="13">
        <v>130</v>
      </c>
      <c r="H37" s="13">
        <v>140</v>
      </c>
      <c r="I37" s="13">
        <v>142.5</v>
      </c>
      <c r="J37" s="13">
        <v>142.5</v>
      </c>
      <c r="K37" s="13">
        <v>97.5</v>
      </c>
      <c r="L37" s="13">
        <v>105</v>
      </c>
      <c r="M37" s="13">
        <v>-107.5</v>
      </c>
      <c r="N37" s="13">
        <v>105</v>
      </c>
      <c r="O37" s="13">
        <v>247.5</v>
      </c>
      <c r="P37" s="13">
        <v>112.5</v>
      </c>
      <c r="Q37" s="13">
        <v>120</v>
      </c>
      <c r="R37" s="13">
        <v>125</v>
      </c>
      <c r="S37" s="13">
        <v>125</v>
      </c>
      <c r="T37" s="13">
        <v>372.5</v>
      </c>
      <c r="U37" s="21">
        <v>467.86001563072199</v>
      </c>
      <c r="V37" s="21">
        <v>0</v>
      </c>
      <c r="W37" s="13" t="s">
        <v>79</v>
      </c>
    </row>
    <row r="38" spans="1:23" ht="14.25" x14ac:dyDescent="0.2">
      <c r="A38" s="8"/>
      <c r="B38" s="13"/>
      <c r="C38" s="13"/>
      <c r="D38" s="13"/>
      <c r="E38" s="17"/>
      <c r="F38" s="13"/>
      <c r="G38" s="13"/>
      <c r="H38" s="13"/>
      <c r="I38" s="13"/>
      <c r="J38" s="13"/>
      <c r="K38" s="13"/>
      <c r="L38" s="13"/>
      <c r="M38" s="13"/>
      <c r="N38" s="13"/>
      <c r="O38" s="13"/>
      <c r="P38" s="13"/>
      <c r="Q38" s="13"/>
      <c r="R38" s="13"/>
      <c r="S38" s="13"/>
      <c r="T38" s="13"/>
      <c r="U38" s="21"/>
      <c r="V38" s="21"/>
      <c r="W38" s="13"/>
    </row>
    <row r="39" spans="1:23" ht="14.25" x14ac:dyDescent="0.2">
      <c r="A39" s="6" t="s">
        <v>80</v>
      </c>
      <c r="B39" s="13"/>
      <c r="C39" s="13"/>
      <c r="D39" s="13"/>
      <c r="E39" s="17"/>
      <c r="F39" s="13"/>
      <c r="G39" s="13"/>
      <c r="H39" s="13"/>
      <c r="I39" s="13"/>
      <c r="J39" s="13"/>
      <c r="K39" s="13"/>
      <c r="L39" s="13"/>
      <c r="M39" s="13"/>
      <c r="N39" s="13"/>
      <c r="O39" s="13"/>
      <c r="P39" s="13"/>
      <c r="Q39" s="13"/>
      <c r="R39" s="13"/>
      <c r="S39" s="13"/>
      <c r="T39" s="13"/>
      <c r="U39" s="21"/>
      <c r="V39" s="21"/>
      <c r="W39" s="13"/>
    </row>
    <row r="40" spans="1:23" ht="14.25" x14ac:dyDescent="0.2">
      <c r="A40" s="8" t="s">
        <v>81</v>
      </c>
      <c r="B40" s="13" t="s">
        <v>82</v>
      </c>
      <c r="C40" s="13">
        <v>58.4</v>
      </c>
      <c r="D40" s="13">
        <v>60</v>
      </c>
      <c r="E40" s="17">
        <v>1.1385999917984</v>
      </c>
      <c r="F40" s="13">
        <v>1</v>
      </c>
      <c r="G40" s="13">
        <v>70</v>
      </c>
      <c r="H40" s="13">
        <v>72.5</v>
      </c>
      <c r="I40" s="13">
        <v>75</v>
      </c>
      <c r="J40" s="13">
        <v>75</v>
      </c>
      <c r="K40" s="13">
        <v>47.5</v>
      </c>
      <c r="L40" s="13">
        <v>50</v>
      </c>
      <c r="M40" s="13">
        <v>-52.5</v>
      </c>
      <c r="N40" s="13">
        <v>50</v>
      </c>
      <c r="O40" s="13">
        <v>125</v>
      </c>
      <c r="P40" s="13">
        <v>97.5</v>
      </c>
      <c r="Q40" s="13">
        <v>100</v>
      </c>
      <c r="R40" s="13">
        <v>102.5</v>
      </c>
      <c r="S40" s="13">
        <v>102.5</v>
      </c>
      <c r="T40" s="13">
        <v>227.5</v>
      </c>
      <c r="U40" s="21">
        <v>259.03149813413597</v>
      </c>
      <c r="V40" s="21">
        <v>259.03149813413597</v>
      </c>
      <c r="W40" s="13" t="s">
        <v>83</v>
      </c>
    </row>
    <row r="41" spans="1:23" ht="14.25" x14ac:dyDescent="0.2">
      <c r="A41" s="8"/>
      <c r="B41" s="13"/>
      <c r="C41" s="13"/>
      <c r="D41" s="13"/>
      <c r="E41" s="17"/>
      <c r="F41" s="13"/>
      <c r="G41" s="13"/>
      <c r="H41" s="13"/>
      <c r="I41" s="13"/>
      <c r="J41" s="13"/>
      <c r="K41" s="13"/>
      <c r="L41" s="13"/>
      <c r="M41" s="13"/>
      <c r="N41" s="13"/>
      <c r="O41" s="13"/>
      <c r="P41" s="13"/>
      <c r="Q41" s="13"/>
      <c r="R41" s="13"/>
      <c r="S41" s="13"/>
      <c r="T41" s="13"/>
      <c r="U41" s="21"/>
      <c r="V41" s="21"/>
      <c r="W41" s="13"/>
    </row>
    <row r="42" spans="1:23" ht="14.25" x14ac:dyDescent="0.2">
      <c r="A42" s="6" t="s">
        <v>84</v>
      </c>
      <c r="B42" s="13"/>
      <c r="C42" s="13"/>
      <c r="D42" s="13"/>
      <c r="E42" s="17"/>
      <c r="F42" s="13"/>
      <c r="G42" s="13"/>
      <c r="H42" s="13"/>
      <c r="I42" s="13"/>
      <c r="J42" s="13"/>
      <c r="K42" s="13"/>
      <c r="L42" s="13"/>
      <c r="M42" s="13"/>
      <c r="N42" s="13"/>
      <c r="O42" s="13"/>
      <c r="P42" s="13"/>
      <c r="Q42" s="13"/>
      <c r="R42" s="13"/>
      <c r="S42" s="13"/>
      <c r="T42" s="13"/>
      <c r="U42" s="21"/>
      <c r="V42" s="21"/>
      <c r="W42" s="13"/>
    </row>
    <row r="43" spans="1:23" ht="14.25" x14ac:dyDescent="0.2">
      <c r="A43" s="8" t="s">
        <v>85</v>
      </c>
      <c r="B43" s="13" t="s">
        <v>86</v>
      </c>
      <c r="C43" s="13">
        <v>57</v>
      </c>
      <c r="D43" s="13">
        <v>60</v>
      </c>
      <c r="E43" s="17">
        <v>1.16040003299713</v>
      </c>
      <c r="F43" s="13">
        <v>1</v>
      </c>
      <c r="G43" s="13">
        <v>112.5</v>
      </c>
      <c r="H43" s="13">
        <v>-120</v>
      </c>
      <c r="I43" s="13">
        <v>-120</v>
      </c>
      <c r="J43" s="13">
        <v>112.5</v>
      </c>
      <c r="K43" s="13">
        <v>72.5</v>
      </c>
      <c r="L43" s="13">
        <v>-77.5</v>
      </c>
      <c r="M43" s="13">
        <v>-77.5</v>
      </c>
      <c r="N43" s="13">
        <v>72.5</v>
      </c>
      <c r="O43" s="13">
        <v>185</v>
      </c>
      <c r="P43" s="13">
        <v>125</v>
      </c>
      <c r="Q43" s="13">
        <v>132.5</v>
      </c>
      <c r="R43" s="13">
        <v>140</v>
      </c>
      <c r="S43" s="13">
        <v>140</v>
      </c>
      <c r="T43" s="13">
        <v>325</v>
      </c>
      <c r="U43" s="21">
        <v>377.13001072406797</v>
      </c>
      <c r="V43" s="21">
        <v>0</v>
      </c>
      <c r="W43" s="13" t="s">
        <v>87</v>
      </c>
    </row>
    <row r="44" spans="1:23" ht="14.25" x14ac:dyDescent="0.2">
      <c r="A44" s="8" t="s">
        <v>88</v>
      </c>
      <c r="B44" s="13" t="s">
        <v>86</v>
      </c>
      <c r="C44" s="13">
        <v>66</v>
      </c>
      <c r="D44" s="13">
        <v>67.5</v>
      </c>
      <c r="E44" s="17">
        <v>1.0374000072479199</v>
      </c>
      <c r="F44" s="13">
        <v>1</v>
      </c>
      <c r="G44" s="13">
        <v>100</v>
      </c>
      <c r="H44" s="13">
        <v>112.5</v>
      </c>
      <c r="I44" s="13">
        <v>-122.5</v>
      </c>
      <c r="J44" s="13">
        <v>112.5</v>
      </c>
      <c r="K44" s="13">
        <v>55</v>
      </c>
      <c r="L44" s="13">
        <v>62.5</v>
      </c>
      <c r="M44" s="13">
        <v>-67.5</v>
      </c>
      <c r="N44" s="13">
        <v>62.5</v>
      </c>
      <c r="O44" s="13">
        <v>175</v>
      </c>
      <c r="P44" s="13">
        <v>125</v>
      </c>
      <c r="Q44" s="13">
        <v>142.5</v>
      </c>
      <c r="R44" s="13">
        <v>157.5</v>
      </c>
      <c r="S44" s="13">
        <v>157.5</v>
      </c>
      <c r="T44" s="13">
        <v>332.5</v>
      </c>
      <c r="U44" s="21">
        <v>344.935502409935</v>
      </c>
      <c r="V44" s="21">
        <v>0</v>
      </c>
      <c r="W44" s="13" t="s">
        <v>89</v>
      </c>
    </row>
    <row r="45" spans="1:23" ht="14.25" x14ac:dyDescent="0.2">
      <c r="A45" s="8" t="s">
        <v>90</v>
      </c>
      <c r="B45" s="13" t="s">
        <v>86</v>
      </c>
      <c r="C45" s="13">
        <v>70.900000000000006</v>
      </c>
      <c r="D45" s="13">
        <v>75</v>
      </c>
      <c r="E45" s="17">
        <v>0.98619997501373002</v>
      </c>
      <c r="F45" s="13">
        <v>1</v>
      </c>
      <c r="G45" s="13">
        <v>102.5</v>
      </c>
      <c r="H45" s="13">
        <v>107.5</v>
      </c>
      <c r="I45" s="13">
        <v>115</v>
      </c>
      <c r="J45" s="13">
        <v>115</v>
      </c>
      <c r="K45" s="13">
        <v>57.5</v>
      </c>
      <c r="L45" s="13">
        <v>70</v>
      </c>
      <c r="M45" s="13">
        <v>-72.5</v>
      </c>
      <c r="N45" s="13">
        <v>70</v>
      </c>
      <c r="O45" s="13">
        <v>185</v>
      </c>
      <c r="P45" s="13">
        <v>132.5</v>
      </c>
      <c r="Q45" s="13">
        <v>-152.5</v>
      </c>
      <c r="R45" s="13">
        <v>152.5</v>
      </c>
      <c r="S45" s="13">
        <v>152.5</v>
      </c>
      <c r="T45" s="13">
        <v>337.5</v>
      </c>
      <c r="U45" s="21">
        <v>332.84249156713503</v>
      </c>
      <c r="V45" s="21">
        <v>332.84249156713503</v>
      </c>
      <c r="W45" s="13" t="s">
        <v>91</v>
      </c>
    </row>
    <row r="46" spans="1:23" ht="14.25" x14ac:dyDescent="0.2">
      <c r="A46" s="8" t="s">
        <v>92</v>
      </c>
      <c r="B46" s="13" t="s">
        <v>86</v>
      </c>
      <c r="C46" s="13">
        <v>63.1</v>
      </c>
      <c r="D46" s="13">
        <v>67.5</v>
      </c>
      <c r="E46" s="17">
        <v>1.0727000236511199</v>
      </c>
      <c r="F46" s="13">
        <v>1</v>
      </c>
      <c r="G46" s="13">
        <v>90</v>
      </c>
      <c r="H46" s="13">
        <v>100</v>
      </c>
      <c r="I46" s="13">
        <v>105</v>
      </c>
      <c r="J46" s="13">
        <v>105</v>
      </c>
      <c r="K46" s="13">
        <v>62.5</v>
      </c>
      <c r="L46" s="13">
        <v>65</v>
      </c>
      <c r="M46" s="13">
        <v>70</v>
      </c>
      <c r="N46" s="13">
        <v>70</v>
      </c>
      <c r="O46" s="13">
        <v>175</v>
      </c>
      <c r="P46" s="13">
        <v>117.5</v>
      </c>
      <c r="Q46" s="13">
        <v>-125</v>
      </c>
      <c r="R46" s="13">
        <v>-125</v>
      </c>
      <c r="S46" s="13">
        <v>117.5</v>
      </c>
      <c r="T46" s="13">
        <v>292.5</v>
      </c>
      <c r="U46" s="21">
        <v>313.764756917954</v>
      </c>
      <c r="V46" s="21">
        <v>0</v>
      </c>
      <c r="W46" s="13" t="s">
        <v>93</v>
      </c>
    </row>
    <row r="47" spans="1:23" ht="14.25" x14ac:dyDescent="0.2">
      <c r="A47" s="8" t="s">
        <v>94</v>
      </c>
      <c r="B47" s="13" t="s">
        <v>86</v>
      </c>
      <c r="C47" s="13">
        <v>67.2</v>
      </c>
      <c r="D47" s="13">
        <v>67.5</v>
      </c>
      <c r="E47" s="17">
        <v>1.0239000320434599</v>
      </c>
      <c r="F47" s="13">
        <v>1</v>
      </c>
      <c r="G47" s="13">
        <v>85</v>
      </c>
      <c r="H47" s="13">
        <v>92.5</v>
      </c>
      <c r="I47" s="13">
        <v>-100</v>
      </c>
      <c r="J47" s="13">
        <v>92.5</v>
      </c>
      <c r="K47" s="13">
        <v>62.5</v>
      </c>
      <c r="L47" s="13">
        <v>65</v>
      </c>
      <c r="M47" s="13">
        <v>70</v>
      </c>
      <c r="N47" s="13">
        <v>70</v>
      </c>
      <c r="O47" s="13">
        <v>162.5</v>
      </c>
      <c r="P47" s="13">
        <v>117.5</v>
      </c>
      <c r="Q47" s="13">
        <v>125</v>
      </c>
      <c r="R47" s="13">
        <v>137.5</v>
      </c>
      <c r="S47" s="13">
        <v>137.5</v>
      </c>
      <c r="T47" s="13">
        <v>300</v>
      </c>
      <c r="U47" s="21">
        <v>307.170009613037</v>
      </c>
      <c r="V47" s="21">
        <v>0</v>
      </c>
      <c r="W47" s="13" t="s">
        <v>95</v>
      </c>
    </row>
    <row r="48" spans="1:23" ht="14.25" x14ac:dyDescent="0.2">
      <c r="A48" s="8" t="s">
        <v>96</v>
      </c>
      <c r="B48" s="13" t="s">
        <v>86</v>
      </c>
      <c r="C48" s="13">
        <v>89.8</v>
      </c>
      <c r="D48" s="13">
        <v>90</v>
      </c>
      <c r="E48" s="17">
        <v>0.86489999294280995</v>
      </c>
      <c r="F48" s="13">
        <v>1</v>
      </c>
      <c r="G48" s="13">
        <v>110</v>
      </c>
      <c r="H48" s="13">
        <v>125</v>
      </c>
      <c r="I48" s="13">
        <v>135</v>
      </c>
      <c r="J48" s="13">
        <v>135</v>
      </c>
      <c r="K48" s="13">
        <v>70</v>
      </c>
      <c r="L48" s="13">
        <v>77.5</v>
      </c>
      <c r="M48" s="13">
        <v>-82.5</v>
      </c>
      <c r="N48" s="13">
        <v>77.5</v>
      </c>
      <c r="O48" s="13">
        <v>212.5</v>
      </c>
      <c r="P48" s="13">
        <v>120</v>
      </c>
      <c r="Q48" s="13">
        <v>132.5</v>
      </c>
      <c r="R48" s="13">
        <v>140</v>
      </c>
      <c r="S48" s="13">
        <v>140</v>
      </c>
      <c r="T48" s="13">
        <v>352.5</v>
      </c>
      <c r="U48" s="21">
        <v>304.877247512341</v>
      </c>
      <c r="V48" s="21">
        <v>0</v>
      </c>
      <c r="W48" s="13" t="s">
        <v>97</v>
      </c>
    </row>
    <row r="49" spans="1:23" ht="14.25" x14ac:dyDescent="0.2">
      <c r="A49" s="8" t="s">
        <v>98</v>
      </c>
      <c r="B49" s="13" t="s">
        <v>86</v>
      </c>
      <c r="C49" s="13">
        <v>51.4</v>
      </c>
      <c r="D49" s="13">
        <v>52</v>
      </c>
      <c r="E49" s="17">
        <v>1.2577999830246001</v>
      </c>
      <c r="F49" s="13">
        <v>1</v>
      </c>
      <c r="G49" s="13">
        <v>70</v>
      </c>
      <c r="H49" s="13">
        <v>80</v>
      </c>
      <c r="I49" s="13">
        <v>-82.5</v>
      </c>
      <c r="J49" s="13">
        <v>80</v>
      </c>
      <c r="K49" s="13">
        <v>45</v>
      </c>
      <c r="L49" s="13">
        <v>50</v>
      </c>
      <c r="M49" s="13">
        <v>-52.5</v>
      </c>
      <c r="N49" s="13">
        <v>50</v>
      </c>
      <c r="O49" s="13">
        <v>130</v>
      </c>
      <c r="P49" s="13">
        <v>105</v>
      </c>
      <c r="Q49" s="13">
        <v>110</v>
      </c>
      <c r="R49" s="13">
        <v>-112.5</v>
      </c>
      <c r="S49" s="13">
        <v>110</v>
      </c>
      <c r="T49" s="13">
        <v>240</v>
      </c>
      <c r="U49" s="21">
        <v>301.87199592590298</v>
      </c>
      <c r="V49" s="21">
        <v>0</v>
      </c>
      <c r="W49" s="13" t="s">
        <v>99</v>
      </c>
    </row>
    <row r="50" spans="1:23" ht="14.25" x14ac:dyDescent="0.2">
      <c r="A50" s="8" t="s">
        <v>100</v>
      </c>
      <c r="B50" s="13" t="s">
        <v>86</v>
      </c>
      <c r="C50" s="13">
        <v>72.3</v>
      </c>
      <c r="D50" s="13">
        <v>75</v>
      </c>
      <c r="E50" s="17">
        <v>0.97339999675750999</v>
      </c>
      <c r="F50" s="13">
        <v>1</v>
      </c>
      <c r="G50" s="13">
        <v>107.5</v>
      </c>
      <c r="H50" s="13">
        <v>-117.5</v>
      </c>
      <c r="I50" s="13">
        <v>117.5</v>
      </c>
      <c r="J50" s="13">
        <v>117.5</v>
      </c>
      <c r="K50" s="13">
        <v>40</v>
      </c>
      <c r="L50" s="13">
        <v>45</v>
      </c>
      <c r="M50" s="13">
        <v>-50</v>
      </c>
      <c r="N50" s="13">
        <v>45</v>
      </c>
      <c r="O50" s="13">
        <v>162.5</v>
      </c>
      <c r="P50" s="13">
        <v>-135</v>
      </c>
      <c r="Q50" s="13">
        <v>147.5</v>
      </c>
      <c r="R50" s="13">
        <v>-162.5</v>
      </c>
      <c r="S50" s="13">
        <v>147.5</v>
      </c>
      <c r="T50" s="13">
        <v>310</v>
      </c>
      <c r="U50" s="21">
        <v>301.75399899482699</v>
      </c>
      <c r="V50" s="21">
        <v>0</v>
      </c>
      <c r="W50" s="13" t="s">
        <v>101</v>
      </c>
    </row>
    <row r="51" spans="1:23" ht="14.25" x14ac:dyDescent="0.2">
      <c r="A51" s="8" t="s">
        <v>102</v>
      </c>
      <c r="B51" s="13" t="s">
        <v>86</v>
      </c>
      <c r="C51" s="13">
        <v>65.599999999999994</v>
      </c>
      <c r="D51" s="13">
        <v>67.5</v>
      </c>
      <c r="E51" s="17">
        <v>1.0420000553131099</v>
      </c>
      <c r="F51" s="13">
        <v>1</v>
      </c>
      <c r="G51" s="13">
        <v>-85</v>
      </c>
      <c r="H51" s="13">
        <v>85</v>
      </c>
      <c r="I51" s="13">
        <v>87.5</v>
      </c>
      <c r="J51" s="13">
        <v>87.5</v>
      </c>
      <c r="K51" s="13">
        <v>72.5</v>
      </c>
      <c r="L51" s="13">
        <v>-77.5</v>
      </c>
      <c r="M51" s="13">
        <v>-77.5</v>
      </c>
      <c r="N51" s="13">
        <v>72.5</v>
      </c>
      <c r="O51" s="13">
        <v>160</v>
      </c>
      <c r="P51" s="13">
        <v>120</v>
      </c>
      <c r="Q51" s="13">
        <v>125</v>
      </c>
      <c r="R51" s="13">
        <v>-127.5</v>
      </c>
      <c r="S51" s="13">
        <v>125</v>
      </c>
      <c r="T51" s="13">
        <v>285</v>
      </c>
      <c r="U51" s="21">
        <v>296.970015764236</v>
      </c>
      <c r="V51" s="21">
        <v>0</v>
      </c>
      <c r="W51" s="13" t="s">
        <v>103</v>
      </c>
    </row>
    <row r="52" spans="1:23" ht="14.25" x14ac:dyDescent="0.2">
      <c r="A52" s="8" t="s">
        <v>104</v>
      </c>
      <c r="B52" s="13" t="s">
        <v>86</v>
      </c>
      <c r="C52" s="13">
        <v>80</v>
      </c>
      <c r="D52" s="13">
        <v>82.5</v>
      </c>
      <c r="E52" s="17">
        <v>0.91500002145767001</v>
      </c>
      <c r="F52" s="13">
        <v>1</v>
      </c>
      <c r="G52" s="13">
        <v>82.5</v>
      </c>
      <c r="H52" s="13">
        <v>87.5</v>
      </c>
      <c r="I52" s="13">
        <v>92.5</v>
      </c>
      <c r="J52" s="13">
        <v>92.5</v>
      </c>
      <c r="K52" s="13">
        <v>85</v>
      </c>
      <c r="L52" s="13">
        <v>-87.5</v>
      </c>
      <c r="M52" s="13">
        <v>-87.5</v>
      </c>
      <c r="N52" s="13">
        <v>85</v>
      </c>
      <c r="O52" s="13">
        <v>177.5</v>
      </c>
      <c r="P52" s="13">
        <v>112.5</v>
      </c>
      <c r="Q52" s="13">
        <v>120</v>
      </c>
      <c r="R52" s="13">
        <v>127.5</v>
      </c>
      <c r="S52" s="13">
        <v>127.5</v>
      </c>
      <c r="T52" s="13">
        <v>305</v>
      </c>
      <c r="U52" s="21">
        <v>279.07500654459</v>
      </c>
      <c r="V52" s="21">
        <v>0</v>
      </c>
      <c r="W52" s="13" t="s">
        <v>105</v>
      </c>
    </row>
    <row r="53" spans="1:23" ht="14.25" x14ac:dyDescent="0.2">
      <c r="A53" s="8" t="s">
        <v>106</v>
      </c>
      <c r="B53" s="13" t="s">
        <v>86</v>
      </c>
      <c r="C53" s="13">
        <v>53.9</v>
      </c>
      <c r="D53" s="13">
        <v>56</v>
      </c>
      <c r="E53" s="17">
        <v>1.2122999429702801</v>
      </c>
      <c r="F53" s="13">
        <v>1</v>
      </c>
      <c r="G53" s="13">
        <v>72.5</v>
      </c>
      <c r="H53" s="13">
        <v>-80</v>
      </c>
      <c r="I53" s="13">
        <v>80</v>
      </c>
      <c r="J53" s="13">
        <v>80</v>
      </c>
      <c r="K53" s="13">
        <v>37.5</v>
      </c>
      <c r="L53" s="13">
        <v>40</v>
      </c>
      <c r="M53" s="13">
        <v>-42.5</v>
      </c>
      <c r="N53" s="13">
        <v>40</v>
      </c>
      <c r="O53" s="13">
        <v>120</v>
      </c>
      <c r="P53" s="13">
        <v>85</v>
      </c>
      <c r="Q53" s="13">
        <v>95</v>
      </c>
      <c r="R53" s="13">
        <v>-102.5</v>
      </c>
      <c r="S53" s="13">
        <v>95</v>
      </c>
      <c r="T53" s="13">
        <v>215</v>
      </c>
      <c r="U53" s="21">
        <v>260.64448773860897</v>
      </c>
      <c r="V53" s="21">
        <v>0</v>
      </c>
      <c r="W53" s="13" t="s">
        <v>107</v>
      </c>
    </row>
    <row r="54" spans="1:23" ht="14.25" x14ac:dyDescent="0.2">
      <c r="A54" s="8" t="s">
        <v>108</v>
      </c>
      <c r="B54" s="13" t="s">
        <v>86</v>
      </c>
      <c r="C54" s="13">
        <v>60.4</v>
      </c>
      <c r="D54" s="13">
        <v>67.5</v>
      </c>
      <c r="E54" s="17">
        <v>1.1092000007629399</v>
      </c>
      <c r="F54" s="13">
        <v>1</v>
      </c>
      <c r="G54" s="13">
        <v>77.5</v>
      </c>
      <c r="H54" s="13">
        <v>-80</v>
      </c>
      <c r="I54" s="13">
        <v>80</v>
      </c>
      <c r="J54" s="13">
        <v>80</v>
      </c>
      <c r="K54" s="13">
        <v>-57.5</v>
      </c>
      <c r="L54" s="13">
        <v>57.5</v>
      </c>
      <c r="M54" s="13">
        <v>-60</v>
      </c>
      <c r="N54" s="13">
        <v>57.5</v>
      </c>
      <c r="O54" s="13">
        <v>137.5</v>
      </c>
      <c r="P54" s="13">
        <v>82.5</v>
      </c>
      <c r="Q54" s="13">
        <v>87.5</v>
      </c>
      <c r="R54" s="13">
        <v>90</v>
      </c>
      <c r="S54" s="13">
        <v>90</v>
      </c>
      <c r="T54" s="13">
        <v>227.5</v>
      </c>
      <c r="U54" s="21">
        <v>252.34300017356901</v>
      </c>
      <c r="V54" s="21">
        <v>0</v>
      </c>
      <c r="W54" s="13" t="s">
        <v>109</v>
      </c>
    </row>
    <row r="55" spans="1:23" ht="14.25" x14ac:dyDescent="0.2">
      <c r="A55" s="8" t="s">
        <v>110</v>
      </c>
      <c r="B55" s="13" t="s">
        <v>86</v>
      </c>
      <c r="C55" s="13">
        <v>73.099999999999994</v>
      </c>
      <c r="D55" s="13">
        <v>75</v>
      </c>
      <c r="E55" s="17">
        <v>0.96630001068115001</v>
      </c>
      <c r="F55" s="13">
        <v>1</v>
      </c>
      <c r="G55" s="13">
        <v>77.5</v>
      </c>
      <c r="H55" s="13">
        <v>-85</v>
      </c>
      <c r="I55" s="13">
        <v>85</v>
      </c>
      <c r="J55" s="13">
        <v>85</v>
      </c>
      <c r="K55" s="13">
        <v>27.5</v>
      </c>
      <c r="L55" s="13">
        <v>30</v>
      </c>
      <c r="M55" s="13">
        <v>-35</v>
      </c>
      <c r="N55" s="13">
        <v>30</v>
      </c>
      <c r="O55" s="13">
        <v>115</v>
      </c>
      <c r="P55" s="13">
        <v>117.5</v>
      </c>
      <c r="Q55" s="13">
        <v>127.5</v>
      </c>
      <c r="R55" s="13">
        <v>137.5</v>
      </c>
      <c r="S55" s="13">
        <v>137.5</v>
      </c>
      <c r="T55" s="13">
        <v>252.5</v>
      </c>
      <c r="U55" s="21">
        <v>243.990752696991</v>
      </c>
      <c r="V55" s="21">
        <v>0</v>
      </c>
      <c r="W55" s="13" t="s">
        <v>111</v>
      </c>
    </row>
    <row r="56" spans="1:23" ht="14.25" x14ac:dyDescent="0.2">
      <c r="A56" s="8" t="s">
        <v>112</v>
      </c>
      <c r="B56" s="13" t="s">
        <v>86</v>
      </c>
      <c r="C56" s="13">
        <v>81.8</v>
      </c>
      <c r="D56" s="13">
        <v>82.5</v>
      </c>
      <c r="E56" s="17">
        <v>0.90399998426437</v>
      </c>
      <c r="F56" s="13">
        <v>1</v>
      </c>
      <c r="G56" s="13">
        <v>-85</v>
      </c>
      <c r="H56" s="13">
        <v>-90</v>
      </c>
      <c r="I56" s="13">
        <v>90</v>
      </c>
      <c r="J56" s="13">
        <v>90</v>
      </c>
      <c r="K56" s="13">
        <v>45</v>
      </c>
      <c r="L56" s="13">
        <v>52.5</v>
      </c>
      <c r="M56" s="13">
        <v>-55</v>
      </c>
      <c r="N56" s="13">
        <v>52.5</v>
      </c>
      <c r="O56" s="13">
        <v>142.5</v>
      </c>
      <c r="P56" s="13">
        <v>107.5</v>
      </c>
      <c r="Q56" s="13">
        <v>110</v>
      </c>
      <c r="R56" s="13">
        <v>120</v>
      </c>
      <c r="S56" s="13">
        <v>120</v>
      </c>
      <c r="T56" s="13">
        <v>262.5</v>
      </c>
      <c r="U56" s="21">
        <v>237.299995869398</v>
      </c>
      <c r="V56" s="21">
        <v>0</v>
      </c>
      <c r="W56" s="13" t="s">
        <v>113</v>
      </c>
    </row>
    <row r="57" spans="1:23" ht="14.25" x14ac:dyDescent="0.2">
      <c r="A57" s="8" t="s">
        <v>114</v>
      </c>
      <c r="B57" s="13" t="s">
        <v>86</v>
      </c>
      <c r="C57" s="13">
        <v>64.5</v>
      </c>
      <c r="D57" s="13">
        <v>67.5</v>
      </c>
      <c r="E57" s="17">
        <v>1.0550999641418499</v>
      </c>
      <c r="F57" s="13">
        <v>1</v>
      </c>
      <c r="G57" s="13">
        <v>-65</v>
      </c>
      <c r="H57" s="13">
        <v>65</v>
      </c>
      <c r="I57" s="13">
        <v>70</v>
      </c>
      <c r="J57" s="13">
        <v>70</v>
      </c>
      <c r="K57" s="13">
        <v>40</v>
      </c>
      <c r="L57" s="13">
        <v>42.5</v>
      </c>
      <c r="M57" s="13">
        <v>-47.5</v>
      </c>
      <c r="N57" s="13">
        <v>42.5</v>
      </c>
      <c r="O57" s="13">
        <v>112.5</v>
      </c>
      <c r="P57" s="13">
        <v>100</v>
      </c>
      <c r="Q57" s="13">
        <v>105</v>
      </c>
      <c r="R57" s="13">
        <v>107.5</v>
      </c>
      <c r="S57" s="13">
        <v>107.5</v>
      </c>
      <c r="T57" s="13">
        <v>220</v>
      </c>
      <c r="U57" s="21">
        <v>232.121992111206</v>
      </c>
      <c r="V57" s="21">
        <v>0</v>
      </c>
      <c r="W57" s="13" t="s">
        <v>115</v>
      </c>
    </row>
    <row r="58" spans="1:23" ht="14.25" x14ac:dyDescent="0.2">
      <c r="A58" s="8" t="s">
        <v>116</v>
      </c>
      <c r="B58" s="13" t="s">
        <v>86</v>
      </c>
      <c r="C58" s="13">
        <v>53.9</v>
      </c>
      <c r="D58" s="13">
        <v>56</v>
      </c>
      <c r="E58" s="17">
        <v>1.2122999429702801</v>
      </c>
      <c r="F58" s="13">
        <v>1</v>
      </c>
      <c r="G58" s="13">
        <v>62.5</v>
      </c>
      <c r="H58" s="13">
        <v>-70</v>
      </c>
      <c r="I58" s="13">
        <v>-70</v>
      </c>
      <c r="J58" s="13">
        <v>62.5</v>
      </c>
      <c r="K58" s="13">
        <v>37.5</v>
      </c>
      <c r="L58" s="13">
        <v>-42.5</v>
      </c>
      <c r="M58" s="13">
        <v>-42.5</v>
      </c>
      <c r="N58" s="13">
        <v>37.5</v>
      </c>
      <c r="O58" s="13">
        <v>100</v>
      </c>
      <c r="P58" s="13">
        <v>55</v>
      </c>
      <c r="Q58" s="13">
        <v>62.5</v>
      </c>
      <c r="R58" s="13">
        <v>70</v>
      </c>
      <c r="S58" s="13">
        <v>70</v>
      </c>
      <c r="T58" s="13">
        <v>170</v>
      </c>
      <c r="U58" s="21">
        <v>206.09099030494701</v>
      </c>
      <c r="V58" s="21">
        <v>0</v>
      </c>
      <c r="W58" s="13" t="s">
        <v>117</v>
      </c>
    </row>
    <row r="59" spans="1:23" ht="12.75" x14ac:dyDescent="0.2">
      <c r="A59" s="3"/>
      <c r="B59" s="3"/>
      <c r="C59" s="3"/>
      <c r="D59" s="3"/>
      <c r="E59" s="14"/>
      <c r="F59" s="3"/>
      <c r="G59" s="3"/>
      <c r="H59" s="3"/>
      <c r="I59" s="3"/>
      <c r="J59" s="3"/>
      <c r="K59" s="3"/>
      <c r="L59" s="3"/>
      <c r="M59" s="3"/>
      <c r="N59" s="3"/>
      <c r="O59" s="3"/>
      <c r="P59" s="3"/>
      <c r="Q59" s="3"/>
      <c r="R59" s="3"/>
      <c r="S59" s="3"/>
      <c r="T59" s="3"/>
      <c r="U59" s="3"/>
      <c r="V59" s="3"/>
      <c r="W59" s="3"/>
    </row>
    <row r="60" spans="1:23" ht="15.75" customHeight="1" x14ac:dyDescent="0.2">
      <c r="A60" s="7"/>
      <c r="B60" s="7"/>
      <c r="C60" s="7"/>
      <c r="D60" s="7"/>
      <c r="E60" s="10"/>
      <c r="F60" s="7"/>
      <c r="G60" s="7"/>
      <c r="H60" s="7"/>
      <c r="I60" s="7"/>
      <c r="J60" s="7"/>
      <c r="K60" s="7"/>
      <c r="L60" s="7"/>
      <c r="M60" s="7"/>
      <c r="N60" s="7"/>
      <c r="O60" s="7"/>
      <c r="P60" s="7"/>
      <c r="Q60" s="7"/>
      <c r="R60" s="7"/>
      <c r="S60" s="7"/>
      <c r="T60" s="7"/>
      <c r="U60" s="7"/>
      <c r="V60" s="7"/>
      <c r="W60" s="7"/>
    </row>
    <row r="61" spans="1:23" ht="26.25" x14ac:dyDescent="0.2">
      <c r="A61" s="16">
        <v>40768</v>
      </c>
      <c r="B61" s="22" t="s">
        <v>0</v>
      </c>
      <c r="C61" s="23"/>
      <c r="D61" s="23"/>
      <c r="E61" s="24"/>
      <c r="F61" s="23"/>
      <c r="G61" s="23"/>
      <c r="H61" s="23"/>
      <c r="I61" s="23"/>
      <c r="J61" s="23"/>
      <c r="K61" s="23"/>
      <c r="L61" s="23"/>
      <c r="M61" s="23"/>
      <c r="N61" s="23"/>
      <c r="O61" s="23"/>
      <c r="P61" s="23"/>
      <c r="Q61" s="23"/>
      <c r="R61" s="23"/>
      <c r="S61" s="23"/>
      <c r="T61" s="23"/>
      <c r="U61" s="23"/>
      <c r="V61" s="23"/>
      <c r="W61" s="23"/>
    </row>
    <row r="62" spans="1:23" ht="15.75" customHeight="1" x14ac:dyDescent="0.2">
      <c r="E62" s="12"/>
    </row>
    <row r="63" spans="1:23" ht="39" customHeight="1" x14ac:dyDescent="0.2">
      <c r="A63" s="15" t="s">
        <v>118</v>
      </c>
      <c r="B63" s="19" t="s">
        <v>2</v>
      </c>
      <c r="C63" s="19" t="s">
        <v>137</v>
      </c>
      <c r="D63" s="19" t="str">
        <f>IF((C63="Bwt (lb)"),"WtCls (lb)","WtCls (kg)")</f>
        <v>WtCls (kg)</v>
      </c>
      <c r="E63" s="2" t="s">
        <v>4</v>
      </c>
      <c r="F63" s="19" t="s">
        <v>5</v>
      </c>
      <c r="G63" s="19" t="s">
        <v>6</v>
      </c>
      <c r="H63" s="19" t="s">
        <v>7</v>
      </c>
      <c r="I63" s="19" t="s">
        <v>8</v>
      </c>
      <c r="J63" s="19" t="s">
        <v>9</v>
      </c>
      <c r="K63" s="19" t="s">
        <v>10</v>
      </c>
      <c r="L63" s="19" t="s">
        <v>11</v>
      </c>
      <c r="M63" s="19" t="s">
        <v>12</v>
      </c>
      <c r="N63" s="19" t="s">
        <v>13</v>
      </c>
      <c r="O63" s="19" t="s">
        <v>14</v>
      </c>
      <c r="P63" s="19" t="s">
        <v>15</v>
      </c>
      <c r="Q63" s="19" t="s">
        <v>16</v>
      </c>
      <c r="R63" s="19" t="s">
        <v>17</v>
      </c>
      <c r="S63" s="19" t="s">
        <v>18</v>
      </c>
      <c r="T63" s="1" t="s">
        <v>119</v>
      </c>
      <c r="U63" s="1" t="s">
        <v>20</v>
      </c>
      <c r="V63" s="1" t="s">
        <v>21</v>
      </c>
      <c r="W63" s="19" t="s">
        <v>22</v>
      </c>
    </row>
    <row r="64" spans="1:23" ht="25.5" customHeight="1" x14ac:dyDescent="0.2">
      <c r="A64" s="9" t="s">
        <v>120</v>
      </c>
      <c r="B64" s="18"/>
      <c r="C64" s="18"/>
      <c r="D64" s="18"/>
      <c r="E64" s="20"/>
      <c r="F64" s="18"/>
      <c r="G64" s="18"/>
      <c r="H64" s="18"/>
      <c r="I64" s="18"/>
      <c r="J64" s="18"/>
      <c r="K64" s="18"/>
      <c r="L64" s="18"/>
      <c r="M64" s="18"/>
      <c r="N64" s="18"/>
      <c r="O64" s="18"/>
      <c r="P64" s="18"/>
      <c r="Q64" s="18"/>
      <c r="R64" s="18"/>
      <c r="S64" s="18"/>
      <c r="T64" s="4"/>
      <c r="U64" s="4"/>
      <c r="V64" s="4"/>
      <c r="W64" s="18"/>
    </row>
    <row r="65" spans="1:23" ht="14.25" x14ac:dyDescent="0.2">
      <c r="A65" s="8" t="s">
        <v>121</v>
      </c>
      <c r="B65" s="13" t="s">
        <v>122</v>
      </c>
      <c r="C65" s="13">
        <v>79.2</v>
      </c>
      <c r="D65" s="13">
        <v>82.5</v>
      </c>
      <c r="E65" s="17">
        <v>0.68709999322891002</v>
      </c>
      <c r="F65" s="13">
        <v>1.34</v>
      </c>
      <c r="G65" s="13"/>
      <c r="H65" s="13"/>
      <c r="I65" s="13"/>
      <c r="J65" s="13"/>
      <c r="K65" s="13">
        <v>115</v>
      </c>
      <c r="L65" s="13">
        <v>120</v>
      </c>
      <c r="M65" s="13">
        <v>-130</v>
      </c>
      <c r="N65" s="13">
        <v>120</v>
      </c>
      <c r="O65" s="13"/>
      <c r="P65" s="13"/>
      <c r="Q65" s="13"/>
      <c r="R65" s="13"/>
      <c r="S65" s="13"/>
      <c r="T65" s="13">
        <v>120</v>
      </c>
      <c r="U65" s="21">
        <v>82.451999187469497</v>
      </c>
      <c r="V65" s="21">
        <v>110.48567891120901</v>
      </c>
      <c r="W65" s="13" t="s">
        <v>123</v>
      </c>
    </row>
    <row r="66" spans="1:23" ht="14.25" x14ac:dyDescent="0.2">
      <c r="A66" s="8"/>
      <c r="B66" s="13"/>
      <c r="C66" s="13"/>
      <c r="D66" s="13"/>
      <c r="E66" s="17"/>
      <c r="F66" s="13"/>
      <c r="G66" s="13"/>
      <c r="H66" s="13"/>
      <c r="I66" s="13"/>
      <c r="J66" s="13"/>
      <c r="K66" s="13"/>
      <c r="L66" s="13"/>
      <c r="M66" s="13"/>
      <c r="N66" s="13"/>
      <c r="O66" s="13"/>
      <c r="P66" s="13"/>
      <c r="Q66" s="13"/>
      <c r="R66" s="13"/>
      <c r="S66" s="13"/>
      <c r="T66" s="13"/>
      <c r="U66" s="21"/>
      <c r="V66" s="21"/>
      <c r="W66" s="13"/>
    </row>
    <row r="67" spans="1:23" x14ac:dyDescent="0.25">
      <c r="A67" s="11" t="s">
        <v>124</v>
      </c>
      <c r="B67" s="13"/>
      <c r="C67" s="13"/>
      <c r="D67" s="13"/>
      <c r="E67" s="17"/>
      <c r="F67" s="13"/>
      <c r="G67" s="13"/>
      <c r="H67" s="13"/>
      <c r="I67" s="13"/>
      <c r="J67" s="13"/>
      <c r="K67" s="13"/>
      <c r="L67" s="13"/>
      <c r="M67" s="13"/>
      <c r="N67" s="13"/>
      <c r="O67" s="13"/>
      <c r="P67" s="13"/>
      <c r="Q67" s="13"/>
      <c r="R67" s="13"/>
      <c r="S67" s="13"/>
      <c r="T67" s="13"/>
      <c r="U67" s="21"/>
      <c r="V67" s="21"/>
      <c r="W67" s="13"/>
    </row>
    <row r="68" spans="1:23" ht="14.25" x14ac:dyDescent="0.2">
      <c r="A68" s="8" t="s">
        <v>125</v>
      </c>
      <c r="B68" s="13" t="s">
        <v>126</v>
      </c>
      <c r="C68" s="13">
        <v>109.6</v>
      </c>
      <c r="D68" s="13">
        <v>110</v>
      </c>
      <c r="E68" s="17">
        <v>0.58920001983643</v>
      </c>
      <c r="F68" s="13">
        <v>1.113</v>
      </c>
      <c r="G68" s="13"/>
      <c r="H68" s="13"/>
      <c r="I68" s="13"/>
      <c r="J68" s="13"/>
      <c r="K68" s="13">
        <v>-155</v>
      </c>
      <c r="L68" s="13">
        <v>-160</v>
      </c>
      <c r="M68" s="13">
        <v>162.5</v>
      </c>
      <c r="N68" s="13">
        <v>162.5</v>
      </c>
      <c r="O68" s="13"/>
      <c r="P68" s="13"/>
      <c r="Q68" s="13"/>
      <c r="R68" s="13"/>
      <c r="S68" s="13"/>
      <c r="T68" s="13">
        <v>162.5</v>
      </c>
      <c r="U68" s="21">
        <v>95.745003223419204</v>
      </c>
      <c r="V68" s="21">
        <v>106.564188587666</v>
      </c>
      <c r="W68" s="13" t="s">
        <v>127</v>
      </c>
    </row>
    <row r="69" spans="1:23" ht="14.25" x14ac:dyDescent="0.2">
      <c r="A69" s="8" t="s">
        <v>121</v>
      </c>
      <c r="B69" s="13" t="s">
        <v>126</v>
      </c>
      <c r="C69" s="13">
        <v>79.2</v>
      </c>
      <c r="D69" s="13">
        <v>82.5</v>
      </c>
      <c r="E69" s="17">
        <v>0.68709999322891002</v>
      </c>
      <c r="F69" s="13">
        <v>1.34</v>
      </c>
      <c r="G69" s="13"/>
      <c r="H69" s="13"/>
      <c r="I69" s="13"/>
      <c r="J69" s="13"/>
      <c r="K69" s="13">
        <v>115</v>
      </c>
      <c r="L69" s="13">
        <v>120</v>
      </c>
      <c r="M69" s="13">
        <v>-130</v>
      </c>
      <c r="N69" s="13">
        <v>120</v>
      </c>
      <c r="O69" s="13"/>
      <c r="P69" s="13"/>
      <c r="Q69" s="13"/>
      <c r="R69" s="13"/>
      <c r="S69" s="13"/>
      <c r="T69" s="13">
        <v>120</v>
      </c>
      <c r="U69" s="21">
        <v>82.451999187469497</v>
      </c>
      <c r="V69" s="21">
        <v>110.48567891120901</v>
      </c>
      <c r="W69" s="13" t="s">
        <v>128</v>
      </c>
    </row>
    <row r="70" spans="1:23" ht="14.25" x14ac:dyDescent="0.2">
      <c r="A70" s="8"/>
      <c r="B70" s="13"/>
      <c r="C70" s="13"/>
      <c r="D70" s="13"/>
      <c r="E70" s="17"/>
      <c r="F70" s="13"/>
      <c r="G70" s="13"/>
      <c r="H70" s="13"/>
      <c r="I70" s="13"/>
      <c r="J70" s="13"/>
      <c r="K70" s="13"/>
      <c r="L70" s="13"/>
      <c r="M70" s="13"/>
      <c r="N70" s="13"/>
      <c r="O70" s="13"/>
      <c r="P70" s="13"/>
      <c r="Q70" s="13"/>
      <c r="R70" s="13"/>
      <c r="S70" s="13"/>
      <c r="T70" s="13"/>
      <c r="U70" s="21"/>
      <c r="V70" s="21"/>
      <c r="W70" s="13"/>
    </row>
    <row r="71" spans="1:23" x14ac:dyDescent="0.25">
      <c r="A71" s="11" t="s">
        <v>39</v>
      </c>
      <c r="B71" s="13"/>
      <c r="C71" s="13"/>
      <c r="D71" s="13"/>
      <c r="E71" s="17"/>
      <c r="F71" s="13"/>
      <c r="G71" s="13"/>
      <c r="H71" s="13"/>
      <c r="I71" s="13"/>
      <c r="J71" s="13"/>
      <c r="K71" s="13"/>
      <c r="L71" s="13"/>
      <c r="M71" s="13"/>
      <c r="N71" s="13"/>
      <c r="O71" s="13"/>
      <c r="P71" s="13"/>
      <c r="Q71" s="13"/>
      <c r="R71" s="13"/>
      <c r="S71" s="13"/>
      <c r="T71" s="13"/>
      <c r="U71" s="21"/>
      <c r="V71" s="21"/>
      <c r="W71" s="13"/>
    </row>
    <row r="72" spans="1:23" ht="14.25" x14ac:dyDescent="0.2">
      <c r="A72" s="8" t="s">
        <v>129</v>
      </c>
      <c r="B72" s="13" t="s">
        <v>130</v>
      </c>
      <c r="C72" s="13">
        <v>84.2</v>
      </c>
      <c r="D72" s="13">
        <v>90</v>
      </c>
      <c r="E72" s="17">
        <v>0.66189998388289994</v>
      </c>
      <c r="F72" s="13">
        <v>1.02</v>
      </c>
      <c r="G72" s="13"/>
      <c r="H72" s="13"/>
      <c r="I72" s="13"/>
      <c r="J72" s="13"/>
      <c r="K72" s="13">
        <v>142.5</v>
      </c>
      <c r="L72" s="13">
        <v>147.5</v>
      </c>
      <c r="M72" s="13">
        <v>150</v>
      </c>
      <c r="N72" s="13">
        <v>150</v>
      </c>
      <c r="O72" s="13"/>
      <c r="P72" s="13"/>
      <c r="Q72" s="13"/>
      <c r="R72" s="13"/>
      <c r="S72" s="13"/>
      <c r="T72" s="13">
        <v>150</v>
      </c>
      <c r="U72" s="21">
        <v>99.284997582435594</v>
      </c>
      <c r="V72" s="21">
        <v>101.27069753408399</v>
      </c>
      <c r="W72" s="13" t="s">
        <v>131</v>
      </c>
    </row>
    <row r="73" spans="1:23" ht="14.25" x14ac:dyDescent="0.2">
      <c r="A73" s="8" t="s">
        <v>132</v>
      </c>
      <c r="B73" s="13" t="s">
        <v>130</v>
      </c>
      <c r="C73" s="13">
        <v>80</v>
      </c>
      <c r="D73" s="13">
        <v>82.5</v>
      </c>
      <c r="E73" s="17">
        <v>0.68269997835159002</v>
      </c>
      <c r="F73" s="13">
        <v>1</v>
      </c>
      <c r="G73" s="13"/>
      <c r="H73" s="13"/>
      <c r="I73" s="13"/>
      <c r="J73" s="13"/>
      <c r="K73" s="13">
        <v>132.5</v>
      </c>
      <c r="L73" s="13">
        <v>140</v>
      </c>
      <c r="M73" s="13">
        <v>-145</v>
      </c>
      <c r="N73" s="13">
        <v>140</v>
      </c>
      <c r="O73" s="13"/>
      <c r="P73" s="13"/>
      <c r="Q73" s="13"/>
      <c r="R73" s="13"/>
      <c r="S73" s="13"/>
      <c r="T73" s="13">
        <v>140</v>
      </c>
      <c r="U73" s="21">
        <v>95.577996969222994</v>
      </c>
      <c r="V73" s="21">
        <v>0</v>
      </c>
      <c r="W73" s="13" t="s">
        <v>133</v>
      </c>
    </row>
    <row r="74" spans="1:23" ht="14.25" x14ac:dyDescent="0.2">
      <c r="A74" s="8" t="s">
        <v>134</v>
      </c>
      <c r="B74" s="13" t="s">
        <v>130</v>
      </c>
      <c r="C74" s="13">
        <v>98.2</v>
      </c>
      <c r="D74" s="13">
        <v>100</v>
      </c>
      <c r="E74" s="17">
        <v>0.61309999227524004</v>
      </c>
      <c r="F74" s="13">
        <v>1</v>
      </c>
      <c r="G74" s="13"/>
      <c r="H74" s="13"/>
      <c r="I74" s="13"/>
      <c r="J74" s="13"/>
      <c r="K74" s="13">
        <v>132.5</v>
      </c>
      <c r="L74" s="13">
        <v>145</v>
      </c>
      <c r="M74" s="13">
        <v>150</v>
      </c>
      <c r="N74" s="13">
        <v>150</v>
      </c>
      <c r="O74" s="13"/>
      <c r="P74" s="13"/>
      <c r="Q74" s="13"/>
      <c r="R74" s="13"/>
      <c r="S74" s="13"/>
      <c r="T74" s="13">
        <v>150</v>
      </c>
      <c r="U74" s="21">
        <v>91.964998841285706</v>
      </c>
      <c r="V74" s="21">
        <v>0</v>
      </c>
      <c r="W74" s="13" t="s">
        <v>135</v>
      </c>
    </row>
  </sheetData>
  <mergeCells count="2">
    <mergeCell ref="B1:W1"/>
    <mergeCell ref="B61:W61"/>
  </mergeCells>
  <conditionalFormatting sqref="G3 H3 I3 J3 K3 L3 M3 N3 O3 P3 Q3 R3 G4 H4 I4 J4 K4 L4 M4 N4 O4 P4 Q4 R4 G5 H5 I5 J5 K5 L5 M5 N5 O5 P5 Q5 R5 G6 H6 I6 J6 K6 L6 M6 N6 O6 P6 Q6 R6 G7 H7 I7 J7 K7 L7 M7 N7 O7 P7 Q7 R7 G8 H8 I8 J8 K8 L8 M8 N8 O8 P8 Q8 R8 G9 H9 I9 J9 K9 L9 M9 N9 O9 P9 Q9 R9 G10 H10 I10 J10 K10 L10 M10 N10 O10 P10 Q10 R10 G11 H11 I11 J11 K11 L11 M11 N11 O11 P11 Q11 R11 G12 H12 I12 J12 K12 L12 M12 N12 O12 P12 Q12 R12 G13 H13 I13 J13 K13 L13 M13 N13 O13 P13 Q13 R13 G14 H14 I14 J14 K14 L14 M14 N14 O14 P14 Q14 R14 G15 H15 I15 J15 K15 L15 M15 N15 O15 P15 Q15 R15 G16 H16 I16 J16 K16 L16 M16 N16 O16 P16 Q16 R16 G17 H17 I17 J17 K17 L17 M17 N17 O17 P17 Q17 R17 G18 H18 I18 J18 K18 L18 M18 N18 O18 P18 Q18 R18 G19 H19 I19 J19 K19 L19 M19 N19 O19 P19 Q19 R19 G20 H20 I20 J20 K20 L20 M20 N20 O20 P20 Q20 R20 G21 H21 I21 J21 K21 L21 M21 N21 O21 P21 Q21 R21 G22 H22 I22 J22 K22 L22 M22 N22 O22 P22 Q22 R22 G23 H23 I23 J23 K23 L23 M23 N23 O23 P23 Q23 R23 G24 H24 I24 J24 K24 L24 M24 N24 O24 P24 Q24 R24 G25 H25 I25 J25 K25 L25 M25 N25 O25 P25 Q25 R25 G26 H26 I26 J26 K26 L26 M26 N26 O26 P26 Q26 R26 G27 H27 I27 J27 K27 L27 M27 N27 O27 P27 Q27 R27 G28 H28 I28 J28 K28 L28 M28 N28 O28 P28 Q28 R28 G29 H29 I29 J29 K29 L29 M29 N29 O29 P29 Q29 R29 G30 H30 I30 J30 K30 L30 M30 N30 O30 P30 Q30 R30 G31 H31 I31 J31 K31 L31 M31 N31 O31 P31 Q31 R31 G32 H32 I32 J32 K32 L32 M32 N32 O32 P32 Q32 R32 G33 H33 I33 J33 K33 L33 M33 N33 O33 P33 Q33 R33 G34 H34 I34 J34 K34 L34 M34 N34 O34 P34 Q34 R34 G35 H35 I35 J35 K35 L35 M35 N35 O35 P35 Q35 R35 G36 H36 I36 J36 K36 L36 M36 N36 O36 P36 Q36 R36 G37 H37 I37 J37 K37 L37 M37 N37 O37 P37 Q37 R37 G38 H38 I38 J38 K38 L38 M38 N38 O38 P38 Q38 R38 G39 H39 I39 J39 K39 L39 M39 N39 O39 P39 Q39 R39 G40 H40 I40 J40 K40 L40 M40 N40 O40 P40 Q40 R40 G41 H41 I41 J41 K41 L41 M41 N41 O41 P41 Q41 R41 G42 H42 I42 J42 K42 L42 M42 N42 O42 P42 Q42 R42 G43 H43 I43 J43 K43 L43 M43 N43 O43 P43 Q43 R43 G44 H44 I44 J44 K44 L44 M44 N44 O44 P44 Q44 R44 G45 H45 I45 J45 K45 L45 M45 N45 O45 P45 Q45 R45 G46 H46 I46 J46 K46 L46 M46 N46 O46 P46 Q46 R46 G47 H47 I47 J47 K47 L47 M47 N47 O47 P47 Q47 R47 G48 H48 I48 J48 K48 L48 M48 N48 O48 P48 Q48 R48 G49 H49 I49 J49 K49 L49 M49 N49 O49 P49 Q49 R49 G50 H50 I50 J50 K50 L50 M50 N50 O50 P50 Q50 R50 G51 H51 I51 J51 K51 L51 M51 N51 O51 P51 Q51 R51 G52 H52 I52 J52 K52 L52 M52 N52 O52 P52 Q52 R52 G53 H53 I53 J53 K53 L53 M53 N53 O53 P53 Q53 R53 G54 H54 I54 J54 K54 L54 M54 N54 O54 P54 Q54 R54 G55 H55 I55 J55 K55 L55 M55 N55 O55 P55 Q55 R55 G56 H56 I56 J56 K56 L56 M56 N56 O56 P56 Q56 R56 G57 H57 I57 J57 K57 L57 M57 N57 O57 P57 Q57 R57 G58 H58 I58 J58 K58 L58 M58 N58 O58 P58 Q58 R58 G63 H63 I63 J63 K63 L63 M63 N63 O63 P63 Q63 R63 G64 H64 I64 J64 K64 L64 M64 N64 O64 P64 Q64 R64 G65 H65 I65 J65 K65 L65 M65 N65 O65 P65 Q65 R65 G66 H66 I66 J66 K66 L66 M66 N66 O66 P66 Q66 R66 G67 H67 I67 J67 K67 L67 M67 N67 O67 P67 Q67 R67 G68 H68 I68 J68 K68 L68 M68 N68 O68 P68 Q68 R68 G69 H69 I69 J69 K69 L69 M69 N69 O69 P69 Q69 R69 G70 H70 I70 J70 K70 L70 M70 N70 O70 P70 Q70 R70 G71 H71 I71 J71 K71 L71 M71 N71 O71 P71 Q71 R71 G72 H72 I72 J72 K72 L72 M72 N72 O72 P72 Q72 R72 G73 H73 I73 J73 K73 L73 M73 N73 O73 P73 Q73 R73 G74 H74 I74 J74 K74 L74 M74 N74 O74 P74 Q74 R74">
    <cfRule type="cellIs" dxfId="3" priority="1" stopIfTrue="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abSelected="1" workbookViewId="0">
      <selection activeCell="L12" sqref="L12"/>
    </sheetView>
  </sheetViews>
  <sheetFormatPr defaultRowHeight="12.75" x14ac:dyDescent="0.2"/>
  <cols>
    <col min="1" max="1" width="26.85546875" bestFit="1" customWidth="1"/>
  </cols>
  <sheetData>
    <row r="1" spans="1:10" ht="26.25" x14ac:dyDescent="0.2">
      <c r="A1" s="25">
        <v>40768</v>
      </c>
      <c r="B1" s="22" t="s">
        <v>0</v>
      </c>
      <c r="C1" s="26"/>
      <c r="D1" s="26"/>
      <c r="E1" s="26"/>
      <c r="F1" s="26"/>
      <c r="G1" s="26"/>
      <c r="H1" s="26"/>
      <c r="I1" s="26"/>
      <c r="J1" s="26"/>
    </row>
    <row r="3" spans="1:10" ht="51" x14ac:dyDescent="0.2">
      <c r="A3" s="27" t="s">
        <v>1</v>
      </c>
      <c r="B3" s="28" t="s">
        <v>2</v>
      </c>
      <c r="C3" s="28" t="s">
        <v>3</v>
      </c>
      <c r="D3" s="28" t="s">
        <v>9</v>
      </c>
      <c r="E3" s="28" t="s">
        <v>13</v>
      </c>
      <c r="F3" s="28" t="s">
        <v>14</v>
      </c>
      <c r="G3" s="28" t="s">
        <v>18</v>
      </c>
      <c r="H3" s="29" t="s">
        <v>19</v>
      </c>
      <c r="I3" s="29" t="s">
        <v>20</v>
      </c>
      <c r="J3" s="28" t="s">
        <v>22</v>
      </c>
    </row>
    <row r="4" spans="1:10" ht="38.25" x14ac:dyDescent="0.2">
      <c r="A4" s="30" t="s">
        <v>23</v>
      </c>
      <c r="B4" s="31"/>
      <c r="C4" s="31"/>
      <c r="D4" s="31"/>
      <c r="E4" s="31"/>
      <c r="F4" s="31"/>
      <c r="G4" s="31"/>
      <c r="H4" s="32"/>
      <c r="I4" s="32"/>
      <c r="J4" s="31"/>
    </row>
    <row r="5" spans="1:10" ht="14.25" x14ac:dyDescent="0.2">
      <c r="A5" s="33" t="s">
        <v>24</v>
      </c>
      <c r="B5" s="34" t="s">
        <v>25</v>
      </c>
      <c r="C5" s="34">
        <v>90</v>
      </c>
      <c r="D5" s="34">
        <v>185</v>
      </c>
      <c r="E5" s="34">
        <v>142.5</v>
      </c>
      <c r="F5" s="34">
        <v>327.5</v>
      </c>
      <c r="G5" s="34">
        <v>212.5</v>
      </c>
      <c r="H5" s="34">
        <v>540</v>
      </c>
      <c r="I5" s="35">
        <v>346.30201220512402</v>
      </c>
      <c r="J5" s="34" t="s">
        <v>26</v>
      </c>
    </row>
    <row r="6" spans="1:10" ht="14.25" x14ac:dyDescent="0.2">
      <c r="A6" s="33"/>
      <c r="B6" s="34"/>
      <c r="C6" s="34"/>
      <c r="D6" s="34"/>
      <c r="E6" s="34"/>
      <c r="F6" s="34"/>
      <c r="G6" s="34"/>
      <c r="H6" s="34"/>
      <c r="I6" s="35"/>
      <c r="J6" s="34"/>
    </row>
    <row r="7" spans="1:10" ht="15" x14ac:dyDescent="0.25">
      <c r="A7" s="36" t="s">
        <v>27</v>
      </c>
      <c r="B7" s="34"/>
      <c r="C7" s="34"/>
      <c r="D7" s="34"/>
      <c r="E7" s="34"/>
      <c r="F7" s="34"/>
      <c r="G7" s="34"/>
      <c r="H7" s="34"/>
      <c r="I7" s="35"/>
      <c r="J7" s="34"/>
    </row>
    <row r="8" spans="1:10" ht="14.25" x14ac:dyDescent="0.2">
      <c r="A8" s="33" t="s">
        <v>28</v>
      </c>
      <c r="B8" s="34" t="s">
        <v>29</v>
      </c>
      <c r="C8" s="34">
        <v>100</v>
      </c>
      <c r="D8" s="34">
        <v>320</v>
      </c>
      <c r="E8" s="34">
        <v>182.5</v>
      </c>
      <c r="F8" s="34">
        <v>502.5</v>
      </c>
      <c r="G8" s="34">
        <v>265</v>
      </c>
      <c r="H8" s="34">
        <v>767.5</v>
      </c>
      <c r="I8" s="35">
        <v>467.10051566362398</v>
      </c>
      <c r="J8" s="34" t="s">
        <v>30</v>
      </c>
    </row>
    <row r="9" spans="1:10" ht="14.25" x14ac:dyDescent="0.2">
      <c r="A9" s="33"/>
      <c r="B9" s="34"/>
      <c r="C9" s="34"/>
      <c r="D9" s="34"/>
      <c r="E9" s="34"/>
      <c r="F9" s="34"/>
      <c r="G9" s="34"/>
      <c r="H9" s="34"/>
      <c r="I9" s="35"/>
      <c r="J9" s="34"/>
    </row>
    <row r="10" spans="1:10" ht="15" x14ac:dyDescent="0.25">
      <c r="A10" s="36" t="s">
        <v>31</v>
      </c>
      <c r="B10" s="34"/>
      <c r="C10" s="34"/>
      <c r="D10" s="34"/>
      <c r="E10" s="34"/>
      <c r="F10" s="34"/>
      <c r="G10" s="34"/>
      <c r="H10" s="34"/>
      <c r="I10" s="35"/>
      <c r="J10" s="34"/>
    </row>
    <row r="11" spans="1:10" ht="14.25" x14ac:dyDescent="0.2">
      <c r="A11" s="33" t="s">
        <v>32</v>
      </c>
      <c r="B11" s="34" t="s">
        <v>33</v>
      </c>
      <c r="C11" s="34">
        <v>90</v>
      </c>
      <c r="D11" s="34">
        <v>185</v>
      </c>
      <c r="E11" s="34">
        <v>167.5</v>
      </c>
      <c r="F11" s="34">
        <v>352.5</v>
      </c>
      <c r="G11" s="34">
        <v>240</v>
      </c>
      <c r="H11" s="34">
        <v>592.5</v>
      </c>
      <c r="I11" s="35">
        <v>379.31851118803002</v>
      </c>
      <c r="J11" s="34" t="s">
        <v>34</v>
      </c>
    </row>
    <row r="12" spans="1:10" ht="14.25" x14ac:dyDescent="0.2">
      <c r="A12" s="33"/>
      <c r="B12" s="34"/>
      <c r="C12" s="34"/>
      <c r="D12" s="34"/>
      <c r="E12" s="34"/>
      <c r="F12" s="34"/>
      <c r="G12" s="34"/>
      <c r="H12" s="34"/>
      <c r="I12" s="35"/>
      <c r="J12" s="34"/>
    </row>
    <row r="13" spans="1:10" ht="14.25" x14ac:dyDescent="0.2">
      <c r="A13" s="33" t="s">
        <v>35</v>
      </c>
      <c r="B13" s="34" t="s">
        <v>33</v>
      </c>
      <c r="C13" s="34">
        <v>82.5</v>
      </c>
      <c r="D13" s="34">
        <v>160</v>
      </c>
      <c r="E13" s="34">
        <v>97.5</v>
      </c>
      <c r="F13" s="34">
        <v>257.5</v>
      </c>
      <c r="G13" s="34">
        <v>195</v>
      </c>
      <c r="H13" s="34">
        <v>452.5</v>
      </c>
      <c r="I13" s="35">
        <v>306.07100263237999</v>
      </c>
      <c r="J13" s="34" t="s">
        <v>36</v>
      </c>
    </row>
    <row r="14" spans="1:10" ht="14.25" x14ac:dyDescent="0.2">
      <c r="A14" s="33"/>
      <c r="B14" s="34"/>
      <c r="C14" s="34"/>
      <c r="D14" s="34"/>
      <c r="E14" s="34"/>
      <c r="F14" s="34"/>
      <c r="G14" s="34"/>
      <c r="H14" s="34"/>
      <c r="I14" s="35"/>
      <c r="J14" s="34"/>
    </row>
    <row r="15" spans="1:10" ht="14.25" x14ac:dyDescent="0.2">
      <c r="A15" s="33" t="s">
        <v>37</v>
      </c>
      <c r="B15" s="34" t="s">
        <v>33</v>
      </c>
      <c r="C15" s="34">
        <v>82.5</v>
      </c>
      <c r="D15" s="34">
        <v>140</v>
      </c>
      <c r="E15" s="34">
        <v>97.5</v>
      </c>
      <c r="F15" s="34">
        <v>237.5</v>
      </c>
      <c r="G15" s="34">
        <v>190</v>
      </c>
      <c r="H15" s="34">
        <v>427.5</v>
      </c>
      <c r="I15" s="35">
        <v>292.32449233531997</v>
      </c>
      <c r="J15" s="34" t="s">
        <v>38</v>
      </c>
    </row>
    <row r="16" spans="1:10" ht="14.25" x14ac:dyDescent="0.2">
      <c r="A16" s="33"/>
      <c r="B16" s="34"/>
      <c r="C16" s="34"/>
      <c r="D16" s="34"/>
      <c r="E16" s="34"/>
      <c r="F16" s="34"/>
      <c r="G16" s="34"/>
      <c r="H16" s="34"/>
      <c r="I16" s="35"/>
      <c r="J16" s="34"/>
    </row>
    <row r="17" spans="1:10" ht="15" x14ac:dyDescent="0.25">
      <c r="A17" s="36" t="s">
        <v>39</v>
      </c>
      <c r="B17" s="34"/>
      <c r="C17" s="34"/>
      <c r="D17" s="34"/>
      <c r="E17" s="34"/>
      <c r="F17" s="34"/>
      <c r="G17" s="34"/>
      <c r="H17" s="34"/>
      <c r="I17" s="35"/>
      <c r="J17" s="34"/>
    </row>
    <row r="18" spans="1:10" ht="14.25" x14ac:dyDescent="0.2">
      <c r="A18" s="33" t="s">
        <v>40</v>
      </c>
      <c r="B18" s="34" t="s">
        <v>41</v>
      </c>
      <c r="C18" s="34">
        <v>82.5</v>
      </c>
      <c r="D18" s="34">
        <v>215</v>
      </c>
      <c r="E18" s="34">
        <v>155</v>
      </c>
      <c r="F18" s="34">
        <v>370</v>
      </c>
      <c r="G18" s="34">
        <v>230</v>
      </c>
      <c r="H18" s="34">
        <v>600</v>
      </c>
      <c r="I18" s="35">
        <v>403.74001264572098</v>
      </c>
      <c r="J18" s="34" t="s">
        <v>42</v>
      </c>
    </row>
    <row r="19" spans="1:10" ht="14.25" x14ac:dyDescent="0.2">
      <c r="A19" s="33"/>
      <c r="B19" s="34"/>
      <c r="C19" s="34"/>
      <c r="D19" s="34"/>
      <c r="E19" s="34"/>
      <c r="F19" s="34"/>
      <c r="G19" s="34"/>
      <c r="H19" s="34"/>
      <c r="I19" s="35"/>
      <c r="J19" s="34"/>
    </row>
    <row r="20" spans="1:10" ht="14.25" x14ac:dyDescent="0.2">
      <c r="A20" s="33" t="s">
        <v>43</v>
      </c>
      <c r="B20" s="34" t="s">
        <v>41</v>
      </c>
      <c r="C20" s="34">
        <v>100</v>
      </c>
      <c r="D20" s="34">
        <v>200</v>
      </c>
      <c r="E20" s="34">
        <v>165</v>
      </c>
      <c r="F20" s="34">
        <v>365</v>
      </c>
      <c r="G20" s="34">
        <v>262.5</v>
      </c>
      <c r="H20" s="34">
        <v>627.5</v>
      </c>
      <c r="I20" s="35">
        <v>388.29699024558101</v>
      </c>
      <c r="J20" s="34" t="s">
        <v>44</v>
      </c>
    </row>
    <row r="21" spans="1:10" ht="14.25" x14ac:dyDescent="0.2">
      <c r="A21" s="33"/>
      <c r="B21" s="34"/>
      <c r="C21" s="34"/>
      <c r="D21" s="34"/>
      <c r="E21" s="34"/>
      <c r="F21" s="34"/>
      <c r="G21" s="34"/>
      <c r="H21" s="34"/>
      <c r="I21" s="35"/>
      <c r="J21" s="34"/>
    </row>
    <row r="22" spans="1:10" ht="14.25" x14ac:dyDescent="0.2">
      <c r="A22" s="33" t="s">
        <v>45</v>
      </c>
      <c r="B22" s="34" t="s">
        <v>41</v>
      </c>
      <c r="C22" s="34">
        <v>90</v>
      </c>
      <c r="D22" s="34">
        <v>205</v>
      </c>
      <c r="E22" s="34">
        <v>140</v>
      </c>
      <c r="F22" s="34">
        <v>345</v>
      </c>
      <c r="G22" s="34">
        <v>230</v>
      </c>
      <c r="H22" s="34">
        <v>575</v>
      </c>
      <c r="I22" s="35">
        <v>374.84249621629698</v>
      </c>
      <c r="J22" s="34" t="s">
        <v>46</v>
      </c>
    </row>
    <row r="23" spans="1:10" ht="14.25" x14ac:dyDescent="0.2">
      <c r="A23" s="33"/>
      <c r="B23" s="34"/>
      <c r="C23" s="34"/>
      <c r="D23" s="34"/>
      <c r="E23" s="34"/>
      <c r="F23" s="34"/>
      <c r="G23" s="34"/>
      <c r="H23" s="34"/>
      <c r="I23" s="35"/>
      <c r="J23" s="34"/>
    </row>
    <row r="24" spans="1:10" ht="14.25" x14ac:dyDescent="0.2">
      <c r="A24" s="33" t="s">
        <v>47</v>
      </c>
      <c r="B24" s="34" t="s">
        <v>41</v>
      </c>
      <c r="C24" s="34">
        <v>100</v>
      </c>
      <c r="D24" s="34">
        <v>210</v>
      </c>
      <c r="E24" s="34">
        <v>147.5</v>
      </c>
      <c r="F24" s="34">
        <v>357.5</v>
      </c>
      <c r="G24" s="34">
        <v>240</v>
      </c>
      <c r="H24" s="34">
        <v>597.5</v>
      </c>
      <c r="I24" s="35">
        <v>367.28326156735397</v>
      </c>
      <c r="J24" s="34" t="s">
        <v>48</v>
      </c>
    </row>
    <row r="25" spans="1:10" ht="14.25" x14ac:dyDescent="0.2">
      <c r="A25" s="33"/>
      <c r="B25" s="34"/>
      <c r="C25" s="34"/>
      <c r="D25" s="34"/>
      <c r="E25" s="34"/>
      <c r="F25" s="34"/>
      <c r="G25" s="34"/>
      <c r="H25" s="34"/>
      <c r="I25" s="35"/>
      <c r="J25" s="34"/>
    </row>
    <row r="26" spans="1:10" ht="14.25" x14ac:dyDescent="0.2">
      <c r="A26" s="33" t="s">
        <v>49</v>
      </c>
      <c r="B26" s="34" t="s">
        <v>41</v>
      </c>
      <c r="C26" s="34">
        <v>90</v>
      </c>
      <c r="D26" s="34">
        <v>197.5</v>
      </c>
      <c r="E26" s="34">
        <v>140</v>
      </c>
      <c r="F26" s="34">
        <v>337.5</v>
      </c>
      <c r="G26" s="34">
        <v>227.5</v>
      </c>
      <c r="H26" s="34">
        <v>565</v>
      </c>
      <c r="I26" s="35">
        <v>362.78648674488102</v>
      </c>
      <c r="J26" s="34" t="s">
        <v>50</v>
      </c>
    </row>
    <row r="27" spans="1:10" ht="14.25" x14ac:dyDescent="0.2">
      <c r="A27" s="33"/>
      <c r="B27" s="34"/>
      <c r="C27" s="34"/>
      <c r="D27" s="34"/>
      <c r="E27" s="34"/>
      <c r="F27" s="34"/>
      <c r="G27" s="34"/>
      <c r="H27" s="34"/>
      <c r="I27" s="35"/>
      <c r="J27" s="34"/>
    </row>
    <row r="28" spans="1:10" ht="14.25" x14ac:dyDescent="0.2">
      <c r="A28" s="33" t="s">
        <v>51</v>
      </c>
      <c r="B28" s="34" t="s">
        <v>41</v>
      </c>
      <c r="C28" s="34">
        <v>100</v>
      </c>
      <c r="D28" s="34">
        <v>215</v>
      </c>
      <c r="E28" s="34">
        <v>147.5</v>
      </c>
      <c r="F28" s="34">
        <v>362.5</v>
      </c>
      <c r="G28" s="34">
        <v>215</v>
      </c>
      <c r="H28" s="34">
        <v>577.5</v>
      </c>
      <c r="I28" s="35">
        <v>358.05000275373499</v>
      </c>
      <c r="J28" s="34" t="s">
        <v>52</v>
      </c>
    </row>
    <row r="29" spans="1:10" ht="14.25" x14ac:dyDescent="0.2">
      <c r="A29" s="33"/>
      <c r="B29" s="34"/>
      <c r="C29" s="34"/>
      <c r="D29" s="34"/>
      <c r="E29" s="34"/>
      <c r="F29" s="34"/>
      <c r="G29" s="34"/>
      <c r="H29" s="34"/>
      <c r="I29" s="35"/>
      <c r="J29" s="34"/>
    </row>
    <row r="30" spans="1:10" ht="14.25" x14ac:dyDescent="0.2">
      <c r="A30" s="33" t="s">
        <v>53</v>
      </c>
      <c r="B30" s="34" t="s">
        <v>41</v>
      </c>
      <c r="C30" s="34">
        <v>82.5</v>
      </c>
      <c r="D30" s="34">
        <v>162.5</v>
      </c>
      <c r="E30" s="34">
        <v>120</v>
      </c>
      <c r="F30" s="34">
        <v>282.5</v>
      </c>
      <c r="G30" s="34">
        <v>205</v>
      </c>
      <c r="H30" s="34">
        <v>487.5</v>
      </c>
      <c r="I30" s="35">
        <v>337.69126385450397</v>
      </c>
      <c r="J30" s="34" t="s">
        <v>54</v>
      </c>
    </row>
    <row r="31" spans="1:10" ht="14.25" x14ac:dyDescent="0.2">
      <c r="A31" s="33"/>
      <c r="B31" s="34"/>
      <c r="C31" s="34"/>
      <c r="D31" s="34"/>
      <c r="E31" s="34"/>
      <c r="F31" s="34"/>
      <c r="G31" s="34"/>
      <c r="H31" s="34"/>
      <c r="I31" s="35"/>
      <c r="J31" s="34"/>
    </row>
    <row r="32" spans="1:10" ht="14.25" x14ac:dyDescent="0.2">
      <c r="A32" s="33" t="s">
        <v>55</v>
      </c>
      <c r="B32" s="34" t="s">
        <v>41</v>
      </c>
      <c r="C32" s="34">
        <v>90</v>
      </c>
      <c r="D32" s="34">
        <v>190</v>
      </c>
      <c r="E32" s="34">
        <v>95</v>
      </c>
      <c r="F32" s="34">
        <v>285</v>
      </c>
      <c r="G32" s="34">
        <v>222.5</v>
      </c>
      <c r="H32" s="34">
        <v>507.5</v>
      </c>
      <c r="I32" s="35">
        <v>335.711238384247</v>
      </c>
      <c r="J32" s="34" t="s">
        <v>56</v>
      </c>
    </row>
    <row r="33" spans="1:10" ht="14.25" x14ac:dyDescent="0.2">
      <c r="A33" s="33"/>
      <c r="B33" s="34"/>
      <c r="C33" s="34"/>
      <c r="D33" s="34"/>
      <c r="E33" s="34"/>
      <c r="F33" s="34"/>
      <c r="G33" s="34"/>
      <c r="H33" s="34"/>
      <c r="I33" s="35"/>
      <c r="J33" s="34"/>
    </row>
    <row r="34" spans="1:10" ht="14.25" x14ac:dyDescent="0.2">
      <c r="A34" s="33" t="s">
        <v>57</v>
      </c>
      <c r="B34" s="34" t="s">
        <v>41</v>
      </c>
      <c r="C34" s="34" t="s">
        <v>58</v>
      </c>
      <c r="D34" s="34">
        <v>200</v>
      </c>
      <c r="E34" s="34">
        <v>135</v>
      </c>
      <c r="F34" s="34">
        <v>335</v>
      </c>
      <c r="G34" s="34">
        <v>197.5</v>
      </c>
      <c r="H34" s="34">
        <v>532.5</v>
      </c>
      <c r="I34" s="35">
        <v>300.06374314427399</v>
      </c>
      <c r="J34" s="34" t="s">
        <v>59</v>
      </c>
    </row>
    <row r="35" spans="1:10" ht="14.25" x14ac:dyDescent="0.2">
      <c r="A35" s="33"/>
      <c r="B35" s="34"/>
      <c r="C35" s="34"/>
      <c r="D35" s="34"/>
      <c r="E35" s="34"/>
      <c r="F35" s="34"/>
      <c r="G35" s="34"/>
      <c r="H35" s="34"/>
      <c r="I35" s="35"/>
      <c r="J35" s="34"/>
    </row>
    <row r="36" spans="1:10" ht="14.25" x14ac:dyDescent="0.2">
      <c r="A36" s="33" t="s">
        <v>60</v>
      </c>
      <c r="B36" s="34" t="s">
        <v>41</v>
      </c>
      <c r="C36" s="34">
        <v>90</v>
      </c>
      <c r="D36" s="34">
        <v>155</v>
      </c>
      <c r="E36" s="34">
        <v>100</v>
      </c>
      <c r="F36" s="34">
        <v>255</v>
      </c>
      <c r="G36" s="34">
        <v>190</v>
      </c>
      <c r="H36" s="34">
        <v>445</v>
      </c>
      <c r="I36" s="35">
        <v>287.60350793600099</v>
      </c>
      <c r="J36" s="34" t="s">
        <v>61</v>
      </c>
    </row>
    <row r="37" spans="1:10" ht="14.25" x14ac:dyDescent="0.2">
      <c r="A37" s="33"/>
      <c r="B37" s="34"/>
      <c r="C37" s="34"/>
      <c r="D37" s="34"/>
      <c r="E37" s="34"/>
      <c r="F37" s="34"/>
      <c r="G37" s="34"/>
      <c r="H37" s="34"/>
      <c r="I37" s="35"/>
      <c r="J37" s="34"/>
    </row>
    <row r="38" spans="1:10" ht="14.25" x14ac:dyDescent="0.2">
      <c r="A38" s="33" t="s">
        <v>62</v>
      </c>
      <c r="B38" s="34" t="s">
        <v>41</v>
      </c>
      <c r="C38" s="34">
        <v>100</v>
      </c>
      <c r="D38" s="34">
        <v>132.5</v>
      </c>
      <c r="E38" s="34">
        <v>87.5</v>
      </c>
      <c r="F38" s="34">
        <v>220</v>
      </c>
      <c r="G38" s="34">
        <v>192.5</v>
      </c>
      <c r="H38" s="34">
        <v>412.5</v>
      </c>
      <c r="I38" s="35">
        <v>252.82125771045699</v>
      </c>
      <c r="J38" s="34" t="s">
        <v>63</v>
      </c>
    </row>
    <row r="39" spans="1:10" ht="14.25" x14ac:dyDescent="0.2">
      <c r="A39" s="33"/>
      <c r="B39" s="34"/>
      <c r="C39" s="34"/>
      <c r="D39" s="34"/>
      <c r="E39" s="34"/>
      <c r="F39" s="34"/>
      <c r="G39" s="34"/>
      <c r="H39" s="34"/>
      <c r="I39" s="35"/>
      <c r="J39" s="34"/>
    </row>
    <row r="40" spans="1:10" ht="14.25" x14ac:dyDescent="0.2">
      <c r="A40" s="33" t="s">
        <v>64</v>
      </c>
      <c r="B40" s="34" t="s">
        <v>41</v>
      </c>
      <c r="C40" s="34">
        <v>82.5</v>
      </c>
      <c r="D40" s="34">
        <v>112.5</v>
      </c>
      <c r="E40" s="34">
        <v>85</v>
      </c>
      <c r="F40" s="34">
        <v>197.5</v>
      </c>
      <c r="G40" s="34">
        <v>160</v>
      </c>
      <c r="H40" s="34">
        <v>357.5</v>
      </c>
      <c r="I40" s="35">
        <v>245.42375460267101</v>
      </c>
      <c r="J40" s="34" t="s">
        <v>65</v>
      </c>
    </row>
    <row r="41" spans="1:10" ht="14.25" x14ac:dyDescent="0.2">
      <c r="A41" s="33"/>
      <c r="B41" s="34"/>
      <c r="C41" s="34"/>
      <c r="D41" s="34"/>
      <c r="E41" s="34"/>
      <c r="F41" s="34"/>
      <c r="G41" s="34"/>
      <c r="H41" s="34"/>
      <c r="I41" s="35"/>
      <c r="J41" s="34"/>
    </row>
    <row r="42" spans="1:10" ht="14.25" x14ac:dyDescent="0.2">
      <c r="A42" s="33" t="s">
        <v>66</v>
      </c>
      <c r="B42" s="34" t="s">
        <v>41</v>
      </c>
      <c r="C42" s="34" t="s">
        <v>58</v>
      </c>
      <c r="D42" s="34">
        <v>250</v>
      </c>
      <c r="E42" s="34">
        <v>0</v>
      </c>
      <c r="F42" s="34">
        <v>0</v>
      </c>
      <c r="G42" s="34">
        <v>0</v>
      </c>
      <c r="H42" s="34">
        <v>0</v>
      </c>
      <c r="I42" s="35">
        <v>0</v>
      </c>
      <c r="J42" s="34"/>
    </row>
    <row r="43" spans="1:10" ht="14.25" x14ac:dyDescent="0.2">
      <c r="A43" s="33"/>
      <c r="B43" s="34"/>
      <c r="C43" s="34"/>
      <c r="D43" s="34"/>
      <c r="E43" s="34"/>
      <c r="F43" s="34"/>
      <c r="G43" s="34"/>
      <c r="H43" s="34"/>
      <c r="I43" s="35"/>
      <c r="J43" s="34"/>
    </row>
    <row r="44" spans="1:10" ht="14.25" x14ac:dyDescent="0.2">
      <c r="A44" s="37" t="s">
        <v>67</v>
      </c>
      <c r="B44" s="34"/>
      <c r="C44" s="34"/>
      <c r="D44" s="34"/>
      <c r="E44" s="34"/>
      <c r="F44" s="34"/>
      <c r="G44" s="34"/>
      <c r="H44" s="34"/>
      <c r="I44" s="35"/>
      <c r="J44" s="34"/>
    </row>
    <row r="45" spans="1:10" ht="14.25" x14ac:dyDescent="0.2">
      <c r="A45" s="33" t="s">
        <v>68</v>
      </c>
      <c r="B45" s="34" t="s">
        <v>69</v>
      </c>
      <c r="C45" s="34">
        <v>75</v>
      </c>
      <c r="D45" s="34">
        <v>150</v>
      </c>
      <c r="E45" s="34">
        <v>127.5</v>
      </c>
      <c r="F45" s="34">
        <v>277.5</v>
      </c>
      <c r="G45" s="34">
        <v>210</v>
      </c>
      <c r="H45" s="34">
        <v>487.5</v>
      </c>
      <c r="I45" s="35">
        <v>371.96250557899498</v>
      </c>
      <c r="J45" s="34" t="s">
        <v>70</v>
      </c>
    </row>
    <row r="46" spans="1:10" ht="14.25" x14ac:dyDescent="0.2">
      <c r="A46" s="33"/>
      <c r="B46" s="34"/>
      <c r="C46" s="34"/>
      <c r="D46" s="34"/>
      <c r="E46" s="34"/>
      <c r="F46" s="34"/>
      <c r="G46" s="34"/>
      <c r="H46" s="34"/>
      <c r="I46" s="35"/>
      <c r="J46" s="34"/>
    </row>
    <row r="47" spans="1:10" ht="14.25" x14ac:dyDescent="0.2">
      <c r="A47" s="33" t="s">
        <v>71</v>
      </c>
      <c r="B47" s="34" t="s">
        <v>69</v>
      </c>
      <c r="C47" s="34">
        <v>75</v>
      </c>
      <c r="D47" s="34">
        <v>150</v>
      </c>
      <c r="E47" s="34">
        <v>110</v>
      </c>
      <c r="F47" s="34">
        <v>260</v>
      </c>
      <c r="G47" s="34">
        <v>220</v>
      </c>
      <c r="H47" s="34">
        <v>480</v>
      </c>
      <c r="I47" s="35">
        <v>346.60800933837902</v>
      </c>
      <c r="J47" s="34" t="s">
        <v>72</v>
      </c>
    </row>
    <row r="48" spans="1:10" ht="14.25" x14ac:dyDescent="0.2">
      <c r="A48" s="33"/>
      <c r="B48" s="34"/>
      <c r="C48" s="34"/>
      <c r="D48" s="34"/>
      <c r="E48" s="34"/>
      <c r="F48" s="34"/>
      <c r="G48" s="34"/>
      <c r="H48" s="34"/>
      <c r="I48" s="35"/>
      <c r="J48" s="34"/>
    </row>
    <row r="49" spans="1:10" ht="14.25" x14ac:dyDescent="0.2">
      <c r="A49" s="33" t="s">
        <v>73</v>
      </c>
      <c r="B49" s="34" t="s">
        <v>69</v>
      </c>
      <c r="C49" s="34">
        <v>75</v>
      </c>
      <c r="D49" s="34">
        <v>110</v>
      </c>
      <c r="E49" s="34">
        <v>75</v>
      </c>
      <c r="F49" s="34">
        <v>185</v>
      </c>
      <c r="G49" s="34">
        <v>157.5</v>
      </c>
      <c r="H49" s="34">
        <v>342.5</v>
      </c>
      <c r="I49" s="35">
        <v>248.03850352764101</v>
      </c>
      <c r="J49" s="34" t="s">
        <v>74</v>
      </c>
    </row>
    <row r="50" spans="1:10" ht="14.25" x14ac:dyDescent="0.2">
      <c r="A50" s="33"/>
      <c r="B50" s="34"/>
      <c r="C50" s="34"/>
      <c r="D50" s="34"/>
      <c r="E50" s="34"/>
      <c r="F50" s="34"/>
      <c r="G50" s="34"/>
      <c r="H50" s="34"/>
      <c r="I50" s="35"/>
      <c r="J50" s="34"/>
    </row>
    <row r="51" spans="1:10" ht="14.25" x14ac:dyDescent="0.2">
      <c r="A51" s="33" t="s">
        <v>75</v>
      </c>
      <c r="B51" s="34" t="s">
        <v>69</v>
      </c>
      <c r="C51" s="34">
        <v>75</v>
      </c>
      <c r="D51" s="34">
        <v>195</v>
      </c>
      <c r="E51" s="34">
        <v>0</v>
      </c>
      <c r="F51" s="34">
        <v>0</v>
      </c>
      <c r="G51" s="34">
        <v>230</v>
      </c>
      <c r="H51" s="34">
        <v>0</v>
      </c>
      <c r="I51" s="35">
        <v>0</v>
      </c>
      <c r="J51" s="34"/>
    </row>
    <row r="52" spans="1:10" ht="14.25" x14ac:dyDescent="0.2">
      <c r="A52" s="33"/>
      <c r="B52" s="34"/>
      <c r="C52" s="34"/>
      <c r="D52" s="34"/>
      <c r="E52" s="34"/>
      <c r="F52" s="34"/>
      <c r="G52" s="34"/>
      <c r="H52" s="34"/>
      <c r="I52" s="35"/>
      <c r="J52" s="34"/>
    </row>
    <row r="53" spans="1:10" ht="14.25" x14ac:dyDescent="0.2">
      <c r="A53" s="37" t="s">
        <v>76</v>
      </c>
      <c r="B53" s="34"/>
      <c r="C53" s="34"/>
      <c r="D53" s="34"/>
      <c r="E53" s="34"/>
      <c r="F53" s="34"/>
      <c r="G53" s="34"/>
      <c r="H53" s="34"/>
      <c r="I53" s="35"/>
      <c r="J53" s="34"/>
    </row>
    <row r="54" spans="1:10" ht="14.25" x14ac:dyDescent="0.2">
      <c r="A54" s="33" t="s">
        <v>77</v>
      </c>
      <c r="B54" s="34" t="s">
        <v>78</v>
      </c>
      <c r="C54" s="34">
        <v>52</v>
      </c>
      <c r="D54" s="34">
        <v>142.5</v>
      </c>
      <c r="E54" s="34">
        <v>105</v>
      </c>
      <c r="F54" s="34">
        <v>247.5</v>
      </c>
      <c r="G54" s="34">
        <v>125</v>
      </c>
      <c r="H54" s="34">
        <v>372.5</v>
      </c>
      <c r="I54" s="35">
        <v>467.86001563072199</v>
      </c>
      <c r="J54" s="34" t="s">
        <v>79</v>
      </c>
    </row>
    <row r="55" spans="1:10" ht="14.25" x14ac:dyDescent="0.2">
      <c r="A55" s="33"/>
      <c r="B55" s="34"/>
      <c r="C55" s="34"/>
      <c r="D55" s="34"/>
      <c r="E55" s="34"/>
      <c r="F55" s="34"/>
      <c r="G55" s="34"/>
      <c r="H55" s="34"/>
      <c r="I55" s="35"/>
      <c r="J55" s="34"/>
    </row>
    <row r="56" spans="1:10" ht="14.25" x14ac:dyDescent="0.2">
      <c r="A56" s="37" t="s">
        <v>80</v>
      </c>
      <c r="B56" s="34"/>
      <c r="C56" s="34"/>
      <c r="D56" s="34"/>
      <c r="E56" s="34"/>
      <c r="F56" s="34"/>
      <c r="G56" s="34"/>
      <c r="H56" s="34"/>
      <c r="I56" s="35"/>
      <c r="J56" s="34"/>
    </row>
    <row r="57" spans="1:10" ht="14.25" x14ac:dyDescent="0.2">
      <c r="A57" s="33" t="s">
        <v>81</v>
      </c>
      <c r="B57" s="34" t="s">
        <v>82</v>
      </c>
      <c r="C57" s="34">
        <v>60</v>
      </c>
      <c r="D57" s="34">
        <v>75</v>
      </c>
      <c r="E57" s="34">
        <v>50</v>
      </c>
      <c r="F57" s="34">
        <v>125</v>
      </c>
      <c r="G57" s="34">
        <v>102.5</v>
      </c>
      <c r="H57" s="34">
        <v>227.5</v>
      </c>
      <c r="I57" s="35">
        <v>259.03149813413597</v>
      </c>
      <c r="J57" s="34" t="s">
        <v>83</v>
      </c>
    </row>
    <row r="58" spans="1:10" ht="14.25" x14ac:dyDescent="0.2">
      <c r="A58" s="33"/>
      <c r="B58" s="34"/>
      <c r="C58" s="34"/>
      <c r="D58" s="34"/>
      <c r="E58" s="34"/>
      <c r="F58" s="34"/>
      <c r="G58" s="34"/>
      <c r="H58" s="34"/>
      <c r="I58" s="35"/>
      <c r="J58" s="34"/>
    </row>
    <row r="59" spans="1:10" ht="14.25" x14ac:dyDescent="0.2">
      <c r="A59" s="37" t="s">
        <v>84</v>
      </c>
      <c r="B59" s="34"/>
      <c r="C59" s="34"/>
      <c r="D59" s="34"/>
      <c r="E59" s="34"/>
      <c r="F59" s="34"/>
      <c r="G59" s="34"/>
      <c r="H59" s="34"/>
      <c r="I59" s="35"/>
      <c r="J59" s="34"/>
    </row>
    <row r="60" spans="1:10" ht="14.25" x14ac:dyDescent="0.2">
      <c r="A60" s="33" t="s">
        <v>85</v>
      </c>
      <c r="B60" s="34" t="s">
        <v>86</v>
      </c>
      <c r="C60" s="34">
        <v>60</v>
      </c>
      <c r="D60" s="34">
        <v>112.5</v>
      </c>
      <c r="E60" s="34">
        <v>72.5</v>
      </c>
      <c r="F60" s="34">
        <v>185</v>
      </c>
      <c r="G60" s="34">
        <v>140</v>
      </c>
      <c r="H60" s="34">
        <v>325</v>
      </c>
      <c r="I60" s="35">
        <v>377.13001072406797</v>
      </c>
      <c r="J60" s="34" t="s">
        <v>87</v>
      </c>
    </row>
    <row r="61" spans="1:10" ht="14.25" x14ac:dyDescent="0.2">
      <c r="A61" s="33"/>
      <c r="B61" s="34"/>
      <c r="C61" s="34"/>
      <c r="D61" s="34"/>
      <c r="E61" s="34"/>
      <c r="F61" s="34"/>
      <c r="G61" s="34"/>
      <c r="H61" s="34"/>
      <c r="I61" s="35"/>
      <c r="J61" s="34"/>
    </row>
    <row r="62" spans="1:10" ht="14.25" x14ac:dyDescent="0.2">
      <c r="A62" s="33" t="s">
        <v>88</v>
      </c>
      <c r="B62" s="34" t="s">
        <v>86</v>
      </c>
      <c r="C62" s="34">
        <v>67.5</v>
      </c>
      <c r="D62" s="34">
        <v>112.5</v>
      </c>
      <c r="E62" s="34">
        <v>62.5</v>
      </c>
      <c r="F62" s="34">
        <v>175</v>
      </c>
      <c r="G62" s="34">
        <v>157.5</v>
      </c>
      <c r="H62" s="34">
        <v>332.5</v>
      </c>
      <c r="I62" s="35">
        <v>344.935502409935</v>
      </c>
      <c r="J62" s="34" t="s">
        <v>89</v>
      </c>
    </row>
    <row r="63" spans="1:10" ht="14.25" x14ac:dyDescent="0.2">
      <c r="A63" s="33"/>
      <c r="B63" s="34"/>
      <c r="C63" s="34"/>
      <c r="D63" s="34"/>
      <c r="E63" s="34"/>
      <c r="F63" s="34"/>
      <c r="G63" s="34"/>
      <c r="H63" s="34"/>
      <c r="I63" s="35"/>
      <c r="J63" s="34"/>
    </row>
    <row r="64" spans="1:10" ht="14.25" x14ac:dyDescent="0.2">
      <c r="A64" s="33" t="s">
        <v>90</v>
      </c>
      <c r="B64" s="34" t="s">
        <v>86</v>
      </c>
      <c r="C64" s="34">
        <v>75</v>
      </c>
      <c r="D64" s="34">
        <v>115</v>
      </c>
      <c r="E64" s="34">
        <v>70</v>
      </c>
      <c r="F64" s="34">
        <v>185</v>
      </c>
      <c r="G64" s="34">
        <v>152.5</v>
      </c>
      <c r="H64" s="34">
        <v>337.5</v>
      </c>
      <c r="I64" s="35">
        <v>332.84249156713503</v>
      </c>
      <c r="J64" s="34" t="s">
        <v>91</v>
      </c>
    </row>
    <row r="65" spans="1:10" ht="14.25" x14ac:dyDescent="0.2">
      <c r="A65" s="33"/>
      <c r="B65" s="34"/>
      <c r="C65" s="34"/>
      <c r="D65" s="34"/>
      <c r="E65" s="34"/>
      <c r="F65" s="34"/>
      <c r="G65" s="34"/>
      <c r="H65" s="34"/>
      <c r="I65" s="35"/>
      <c r="J65" s="34"/>
    </row>
    <row r="66" spans="1:10" ht="14.25" x14ac:dyDescent="0.2">
      <c r="A66" s="33" t="s">
        <v>92</v>
      </c>
      <c r="B66" s="34" t="s">
        <v>86</v>
      </c>
      <c r="C66" s="34">
        <v>67.5</v>
      </c>
      <c r="D66" s="34">
        <v>105</v>
      </c>
      <c r="E66" s="34">
        <v>70</v>
      </c>
      <c r="F66" s="34">
        <v>175</v>
      </c>
      <c r="G66" s="34">
        <v>117.5</v>
      </c>
      <c r="H66" s="34">
        <v>292.5</v>
      </c>
      <c r="I66" s="35">
        <v>313.764756917954</v>
      </c>
      <c r="J66" s="34" t="s">
        <v>93</v>
      </c>
    </row>
    <row r="67" spans="1:10" ht="14.25" x14ac:dyDescent="0.2">
      <c r="A67" s="33"/>
      <c r="B67" s="34"/>
      <c r="C67" s="34"/>
      <c r="D67" s="34"/>
      <c r="E67" s="34"/>
      <c r="F67" s="34"/>
      <c r="G67" s="34"/>
      <c r="H67" s="34"/>
      <c r="I67" s="35"/>
      <c r="J67" s="34"/>
    </row>
    <row r="68" spans="1:10" ht="14.25" x14ac:dyDescent="0.2">
      <c r="A68" s="33" t="s">
        <v>94</v>
      </c>
      <c r="B68" s="34" t="s">
        <v>86</v>
      </c>
      <c r="C68" s="34">
        <v>67.5</v>
      </c>
      <c r="D68" s="34">
        <v>92.5</v>
      </c>
      <c r="E68" s="34">
        <v>70</v>
      </c>
      <c r="F68" s="34">
        <v>162.5</v>
      </c>
      <c r="G68" s="34">
        <v>137.5</v>
      </c>
      <c r="H68" s="34">
        <v>300</v>
      </c>
      <c r="I68" s="35">
        <v>307.170009613037</v>
      </c>
      <c r="J68" s="34" t="s">
        <v>95</v>
      </c>
    </row>
    <row r="69" spans="1:10" ht="14.25" x14ac:dyDescent="0.2">
      <c r="A69" s="33"/>
      <c r="B69" s="34"/>
      <c r="C69" s="34"/>
      <c r="D69" s="34"/>
      <c r="E69" s="34"/>
      <c r="F69" s="34"/>
      <c r="G69" s="34"/>
      <c r="H69" s="34"/>
      <c r="I69" s="35"/>
      <c r="J69" s="34"/>
    </row>
    <row r="70" spans="1:10" ht="14.25" x14ac:dyDescent="0.2">
      <c r="A70" s="33" t="s">
        <v>96</v>
      </c>
      <c r="B70" s="34" t="s">
        <v>86</v>
      </c>
      <c r="C70" s="34">
        <v>90</v>
      </c>
      <c r="D70" s="34">
        <v>135</v>
      </c>
      <c r="E70" s="34">
        <v>77.5</v>
      </c>
      <c r="F70" s="34">
        <v>212.5</v>
      </c>
      <c r="G70" s="34">
        <v>140</v>
      </c>
      <c r="H70" s="34">
        <v>352.5</v>
      </c>
      <c r="I70" s="35">
        <v>304.877247512341</v>
      </c>
      <c r="J70" s="34" t="s">
        <v>97</v>
      </c>
    </row>
    <row r="71" spans="1:10" ht="14.25" x14ac:dyDescent="0.2">
      <c r="A71" s="33"/>
      <c r="B71" s="34"/>
      <c r="C71" s="34"/>
      <c r="D71" s="34"/>
      <c r="E71" s="34"/>
      <c r="F71" s="34"/>
      <c r="G71" s="34"/>
      <c r="H71" s="34"/>
      <c r="I71" s="35"/>
      <c r="J71" s="34"/>
    </row>
    <row r="72" spans="1:10" ht="14.25" x14ac:dyDescent="0.2">
      <c r="A72" s="33" t="s">
        <v>98</v>
      </c>
      <c r="B72" s="34" t="s">
        <v>86</v>
      </c>
      <c r="C72" s="34">
        <v>52</v>
      </c>
      <c r="D72" s="34">
        <v>80</v>
      </c>
      <c r="E72" s="34">
        <v>50</v>
      </c>
      <c r="F72" s="34">
        <v>130</v>
      </c>
      <c r="G72" s="34">
        <v>110</v>
      </c>
      <c r="H72" s="34">
        <v>240</v>
      </c>
      <c r="I72" s="35">
        <v>301.87199592590298</v>
      </c>
      <c r="J72" s="34" t="s">
        <v>99</v>
      </c>
    </row>
    <row r="73" spans="1:10" ht="14.25" x14ac:dyDescent="0.2">
      <c r="A73" s="33"/>
      <c r="B73" s="34"/>
      <c r="C73" s="34"/>
      <c r="D73" s="34"/>
      <c r="E73" s="34"/>
      <c r="F73" s="34"/>
      <c r="G73" s="34"/>
      <c r="H73" s="34"/>
      <c r="I73" s="35"/>
      <c r="J73" s="34"/>
    </row>
    <row r="74" spans="1:10" ht="14.25" x14ac:dyDescent="0.2">
      <c r="A74" s="33" t="s">
        <v>100</v>
      </c>
      <c r="B74" s="34" t="s">
        <v>86</v>
      </c>
      <c r="C74" s="34">
        <v>75</v>
      </c>
      <c r="D74" s="34">
        <v>117.5</v>
      </c>
      <c r="E74" s="34">
        <v>45</v>
      </c>
      <c r="F74" s="34">
        <v>162.5</v>
      </c>
      <c r="G74" s="34">
        <v>147.5</v>
      </c>
      <c r="H74" s="34">
        <v>310</v>
      </c>
      <c r="I74" s="35">
        <v>301.75399899482699</v>
      </c>
      <c r="J74" s="34" t="s">
        <v>101</v>
      </c>
    </row>
    <row r="75" spans="1:10" ht="14.25" x14ac:dyDescent="0.2">
      <c r="A75" s="33"/>
      <c r="B75" s="34"/>
      <c r="C75" s="34"/>
      <c r="D75" s="34"/>
      <c r="E75" s="34"/>
      <c r="F75" s="34"/>
      <c r="G75" s="34"/>
      <c r="H75" s="34"/>
      <c r="I75" s="35"/>
      <c r="J75" s="34"/>
    </row>
    <row r="76" spans="1:10" ht="14.25" x14ac:dyDescent="0.2">
      <c r="A76" s="33" t="s">
        <v>102</v>
      </c>
      <c r="B76" s="34" t="s">
        <v>86</v>
      </c>
      <c r="C76" s="34">
        <v>67.5</v>
      </c>
      <c r="D76" s="34">
        <v>87.5</v>
      </c>
      <c r="E76" s="34">
        <v>72.5</v>
      </c>
      <c r="F76" s="34">
        <v>160</v>
      </c>
      <c r="G76" s="34">
        <v>125</v>
      </c>
      <c r="H76" s="34">
        <v>285</v>
      </c>
      <c r="I76" s="35">
        <v>296.970015764236</v>
      </c>
      <c r="J76" s="34" t="s">
        <v>103</v>
      </c>
    </row>
    <row r="77" spans="1:10" ht="14.25" x14ac:dyDescent="0.2">
      <c r="A77" s="33"/>
      <c r="B77" s="34"/>
      <c r="C77" s="34"/>
      <c r="D77" s="34"/>
      <c r="E77" s="34"/>
      <c r="F77" s="34"/>
      <c r="G77" s="34"/>
      <c r="H77" s="34"/>
      <c r="I77" s="35"/>
      <c r="J77" s="34"/>
    </row>
    <row r="78" spans="1:10" ht="14.25" x14ac:dyDescent="0.2">
      <c r="A78" s="33" t="s">
        <v>104</v>
      </c>
      <c r="B78" s="34" t="s">
        <v>86</v>
      </c>
      <c r="C78" s="34">
        <v>82.5</v>
      </c>
      <c r="D78" s="34">
        <v>92.5</v>
      </c>
      <c r="E78" s="34">
        <v>85</v>
      </c>
      <c r="F78" s="34">
        <v>177.5</v>
      </c>
      <c r="G78" s="34">
        <v>127.5</v>
      </c>
      <c r="H78" s="34">
        <v>305</v>
      </c>
      <c r="I78" s="35">
        <v>279.07500654459</v>
      </c>
      <c r="J78" s="34" t="s">
        <v>105</v>
      </c>
    </row>
    <row r="79" spans="1:10" ht="14.25" x14ac:dyDescent="0.2">
      <c r="A79" s="33"/>
      <c r="B79" s="34"/>
      <c r="C79" s="34"/>
      <c r="D79" s="34"/>
      <c r="E79" s="34"/>
      <c r="F79" s="34"/>
      <c r="G79" s="34"/>
      <c r="H79" s="34"/>
      <c r="I79" s="35"/>
      <c r="J79" s="34"/>
    </row>
    <row r="80" spans="1:10" ht="14.25" x14ac:dyDescent="0.2">
      <c r="A80" s="33" t="s">
        <v>106</v>
      </c>
      <c r="B80" s="34" t="s">
        <v>86</v>
      </c>
      <c r="C80" s="34">
        <v>56</v>
      </c>
      <c r="D80" s="34">
        <v>80</v>
      </c>
      <c r="E80" s="34">
        <v>40</v>
      </c>
      <c r="F80" s="34">
        <v>120</v>
      </c>
      <c r="G80" s="34">
        <v>95</v>
      </c>
      <c r="H80" s="34">
        <v>215</v>
      </c>
      <c r="I80" s="35">
        <v>260.64448773860897</v>
      </c>
      <c r="J80" s="34" t="s">
        <v>107</v>
      </c>
    </row>
    <row r="81" spans="1:10" ht="14.25" x14ac:dyDescent="0.2">
      <c r="A81" s="33"/>
      <c r="B81" s="34"/>
      <c r="C81" s="34"/>
      <c r="D81" s="34"/>
      <c r="E81" s="34"/>
      <c r="F81" s="34"/>
      <c r="G81" s="34"/>
      <c r="H81" s="34"/>
      <c r="I81" s="35"/>
      <c r="J81" s="34"/>
    </row>
    <row r="82" spans="1:10" ht="14.25" x14ac:dyDescent="0.2">
      <c r="A82" s="33" t="s">
        <v>108</v>
      </c>
      <c r="B82" s="34" t="s">
        <v>86</v>
      </c>
      <c r="C82" s="34">
        <v>67.5</v>
      </c>
      <c r="D82" s="34">
        <v>80</v>
      </c>
      <c r="E82" s="34">
        <v>57.5</v>
      </c>
      <c r="F82" s="34">
        <v>137.5</v>
      </c>
      <c r="G82" s="34">
        <v>90</v>
      </c>
      <c r="H82" s="34">
        <v>227.5</v>
      </c>
      <c r="I82" s="35">
        <v>252.34300017356901</v>
      </c>
      <c r="J82" s="34" t="s">
        <v>109</v>
      </c>
    </row>
    <row r="83" spans="1:10" ht="14.25" x14ac:dyDescent="0.2">
      <c r="A83" s="33"/>
      <c r="B83" s="34"/>
      <c r="C83" s="34"/>
      <c r="D83" s="34"/>
      <c r="E83" s="34"/>
      <c r="F83" s="34"/>
      <c r="G83" s="34"/>
      <c r="H83" s="34"/>
      <c r="I83" s="35"/>
      <c r="J83" s="34"/>
    </row>
    <row r="84" spans="1:10" ht="14.25" x14ac:dyDescent="0.2">
      <c r="A84" s="33" t="s">
        <v>110</v>
      </c>
      <c r="B84" s="34" t="s">
        <v>86</v>
      </c>
      <c r="C84" s="34">
        <v>75</v>
      </c>
      <c r="D84" s="34">
        <v>85</v>
      </c>
      <c r="E84" s="34">
        <v>30</v>
      </c>
      <c r="F84" s="34">
        <v>115</v>
      </c>
      <c r="G84" s="34">
        <v>137.5</v>
      </c>
      <c r="H84" s="34">
        <v>252.5</v>
      </c>
      <c r="I84" s="35">
        <v>243.990752696991</v>
      </c>
      <c r="J84" s="34" t="s">
        <v>111</v>
      </c>
    </row>
    <row r="85" spans="1:10" ht="14.25" x14ac:dyDescent="0.2">
      <c r="A85" s="33"/>
      <c r="B85" s="34"/>
      <c r="C85" s="34"/>
      <c r="D85" s="34"/>
      <c r="E85" s="34"/>
      <c r="F85" s="34"/>
      <c r="G85" s="34"/>
      <c r="H85" s="34"/>
      <c r="I85" s="35"/>
      <c r="J85" s="34"/>
    </row>
    <row r="86" spans="1:10" ht="14.25" x14ac:dyDescent="0.2">
      <c r="A86" s="33" t="s">
        <v>112</v>
      </c>
      <c r="B86" s="34" t="s">
        <v>86</v>
      </c>
      <c r="C86" s="34">
        <v>82.5</v>
      </c>
      <c r="D86" s="34">
        <v>90</v>
      </c>
      <c r="E86" s="34">
        <v>52.5</v>
      </c>
      <c r="F86" s="34">
        <v>142.5</v>
      </c>
      <c r="G86" s="34">
        <v>120</v>
      </c>
      <c r="H86" s="34">
        <v>262.5</v>
      </c>
      <c r="I86" s="35">
        <v>237.299995869398</v>
      </c>
      <c r="J86" s="34" t="s">
        <v>113</v>
      </c>
    </row>
    <row r="87" spans="1:10" ht="14.25" x14ac:dyDescent="0.2">
      <c r="A87" s="33"/>
      <c r="B87" s="34"/>
      <c r="C87" s="34"/>
      <c r="D87" s="34"/>
      <c r="E87" s="34"/>
      <c r="F87" s="34"/>
      <c r="G87" s="34"/>
      <c r="H87" s="34"/>
      <c r="I87" s="35"/>
      <c r="J87" s="34"/>
    </row>
    <row r="88" spans="1:10" ht="14.25" x14ac:dyDescent="0.2">
      <c r="A88" s="33" t="s">
        <v>114</v>
      </c>
      <c r="B88" s="34" t="s">
        <v>86</v>
      </c>
      <c r="C88" s="34">
        <v>67.5</v>
      </c>
      <c r="D88" s="34">
        <v>70</v>
      </c>
      <c r="E88" s="34">
        <v>42.5</v>
      </c>
      <c r="F88" s="34">
        <v>112.5</v>
      </c>
      <c r="G88" s="34">
        <v>107.5</v>
      </c>
      <c r="H88" s="34">
        <v>220</v>
      </c>
      <c r="I88" s="35">
        <v>232.121992111206</v>
      </c>
      <c r="J88" s="34" t="s">
        <v>115</v>
      </c>
    </row>
    <row r="89" spans="1:10" ht="14.25" x14ac:dyDescent="0.2">
      <c r="A89" s="33"/>
      <c r="B89" s="34"/>
      <c r="C89" s="34"/>
      <c r="D89" s="34"/>
      <c r="E89" s="34"/>
      <c r="F89" s="34"/>
      <c r="G89" s="34"/>
      <c r="H89" s="34"/>
      <c r="I89" s="35"/>
      <c r="J89" s="34"/>
    </row>
    <row r="90" spans="1:10" ht="14.25" x14ac:dyDescent="0.2">
      <c r="A90" s="33" t="s">
        <v>116</v>
      </c>
      <c r="B90" s="34" t="s">
        <v>86</v>
      </c>
      <c r="C90" s="34">
        <v>56</v>
      </c>
      <c r="D90" s="34">
        <v>62.5</v>
      </c>
      <c r="E90" s="34">
        <v>37.5</v>
      </c>
      <c r="F90" s="34">
        <v>100</v>
      </c>
      <c r="G90" s="34">
        <v>70</v>
      </c>
      <c r="H90" s="34">
        <v>170</v>
      </c>
      <c r="I90" s="35">
        <v>206.09099030494701</v>
      </c>
      <c r="J90" s="34" t="s">
        <v>117</v>
      </c>
    </row>
    <row r="91" spans="1:10" x14ac:dyDescent="0.2">
      <c r="A91" s="38"/>
      <c r="B91" s="38"/>
      <c r="C91" s="38"/>
      <c r="D91" s="38"/>
      <c r="E91" s="38"/>
      <c r="F91" s="38"/>
      <c r="G91" s="38"/>
      <c r="H91" s="38"/>
      <c r="I91" s="38"/>
      <c r="J91" s="38"/>
    </row>
    <row r="92" spans="1:10" x14ac:dyDescent="0.2">
      <c r="A92" s="39"/>
      <c r="B92" s="39"/>
      <c r="C92" s="39"/>
      <c r="D92" s="39"/>
      <c r="E92" s="39"/>
      <c r="F92" s="39"/>
      <c r="G92" s="39"/>
      <c r="H92" s="39"/>
      <c r="I92" s="39"/>
      <c r="J92" s="39"/>
    </row>
    <row r="93" spans="1:10" ht="26.25" x14ac:dyDescent="0.2">
      <c r="A93" s="25">
        <v>40768</v>
      </c>
      <c r="B93" s="22" t="s">
        <v>0</v>
      </c>
      <c r="C93" s="26"/>
      <c r="D93" s="26"/>
      <c r="E93" s="26"/>
      <c r="F93" s="26"/>
      <c r="G93" s="26"/>
      <c r="H93" s="26"/>
      <c r="I93" s="26"/>
      <c r="J93" s="26"/>
    </row>
    <row r="95" spans="1:10" ht="51" x14ac:dyDescent="0.2">
      <c r="A95" s="27" t="s">
        <v>118</v>
      </c>
      <c r="B95" s="28" t="s">
        <v>2</v>
      </c>
      <c r="C95" s="28" t="s">
        <v>142</v>
      </c>
      <c r="D95" s="28" t="s">
        <v>9</v>
      </c>
      <c r="E95" s="28" t="s">
        <v>13</v>
      </c>
      <c r="F95" s="28" t="s">
        <v>14</v>
      </c>
      <c r="G95" s="28" t="s">
        <v>18</v>
      </c>
      <c r="H95" s="29" t="s">
        <v>119</v>
      </c>
      <c r="I95" s="29" t="s">
        <v>20</v>
      </c>
      <c r="J95" s="28" t="s">
        <v>22</v>
      </c>
    </row>
    <row r="96" spans="1:10" ht="38.25" x14ac:dyDescent="0.2">
      <c r="A96" s="30" t="s">
        <v>120</v>
      </c>
      <c r="B96" s="31"/>
      <c r="C96" s="31"/>
      <c r="D96" s="31"/>
      <c r="E96" s="31"/>
      <c r="F96" s="31"/>
      <c r="G96" s="31"/>
      <c r="H96" s="32"/>
      <c r="I96" s="32"/>
      <c r="J96" s="31"/>
    </row>
    <row r="97" spans="1:10" ht="14.25" x14ac:dyDescent="0.2">
      <c r="A97" s="33" t="s">
        <v>121</v>
      </c>
      <c r="B97" s="34" t="s">
        <v>122</v>
      </c>
      <c r="C97" s="34">
        <v>82.5</v>
      </c>
      <c r="D97" s="34"/>
      <c r="E97" s="34">
        <v>120</v>
      </c>
      <c r="F97" s="34"/>
      <c r="G97" s="34"/>
      <c r="H97" s="34">
        <v>120</v>
      </c>
      <c r="I97" s="40">
        <v>82.451999187469497</v>
      </c>
      <c r="J97" s="34" t="s">
        <v>123</v>
      </c>
    </row>
    <row r="98" spans="1:10" ht="14.25" x14ac:dyDescent="0.2">
      <c r="A98" s="33"/>
      <c r="B98" s="34"/>
      <c r="C98" s="34"/>
      <c r="D98" s="34"/>
      <c r="E98" s="34"/>
      <c r="F98" s="34"/>
      <c r="G98" s="34"/>
      <c r="H98" s="34"/>
      <c r="I98" s="40"/>
      <c r="J98" s="34"/>
    </row>
    <row r="99" spans="1:10" ht="15" x14ac:dyDescent="0.25">
      <c r="A99" s="36" t="s">
        <v>124</v>
      </c>
      <c r="B99" s="34"/>
      <c r="C99" s="34"/>
      <c r="D99" s="34"/>
      <c r="E99" s="34"/>
      <c r="F99" s="34"/>
      <c r="G99" s="34"/>
      <c r="H99" s="34"/>
      <c r="I99" s="40"/>
      <c r="J99" s="34"/>
    </row>
    <row r="100" spans="1:10" ht="14.25" x14ac:dyDescent="0.2">
      <c r="A100" s="33" t="s">
        <v>125</v>
      </c>
      <c r="B100" s="34" t="s">
        <v>126</v>
      </c>
      <c r="C100" s="34">
        <v>110</v>
      </c>
      <c r="D100" s="34"/>
      <c r="E100" s="34">
        <v>162.5</v>
      </c>
      <c r="F100" s="34"/>
      <c r="G100" s="34"/>
      <c r="H100" s="34">
        <v>162.5</v>
      </c>
      <c r="I100" s="40">
        <v>95.745003223419204</v>
      </c>
      <c r="J100" s="34" t="s">
        <v>127</v>
      </c>
    </row>
    <row r="101" spans="1:10" ht="14.25" x14ac:dyDescent="0.2">
      <c r="A101" s="33" t="s">
        <v>121</v>
      </c>
      <c r="B101" s="34" t="s">
        <v>126</v>
      </c>
      <c r="C101" s="34">
        <v>82.5</v>
      </c>
      <c r="D101" s="34"/>
      <c r="E101" s="34">
        <v>120</v>
      </c>
      <c r="F101" s="34"/>
      <c r="G101" s="34"/>
      <c r="H101" s="34">
        <v>120</v>
      </c>
      <c r="I101" s="40">
        <v>82.451999187469497</v>
      </c>
      <c r="J101" s="34" t="s">
        <v>128</v>
      </c>
    </row>
    <row r="102" spans="1:10" ht="14.25" x14ac:dyDescent="0.2">
      <c r="A102" s="33"/>
      <c r="B102" s="34"/>
      <c r="C102" s="34"/>
      <c r="D102" s="34"/>
      <c r="E102" s="34"/>
      <c r="F102" s="34"/>
      <c r="G102" s="34"/>
      <c r="H102" s="34"/>
      <c r="I102" s="40"/>
      <c r="J102" s="34"/>
    </row>
    <row r="103" spans="1:10" ht="15" x14ac:dyDescent="0.25">
      <c r="A103" s="36" t="s">
        <v>39</v>
      </c>
      <c r="B103" s="34"/>
      <c r="C103" s="34"/>
      <c r="D103" s="34"/>
      <c r="E103" s="34"/>
      <c r="F103" s="34"/>
      <c r="G103" s="34"/>
      <c r="H103" s="34"/>
      <c r="I103" s="40"/>
      <c r="J103" s="34"/>
    </row>
    <row r="104" spans="1:10" ht="14.25" x14ac:dyDescent="0.2">
      <c r="A104" s="33" t="s">
        <v>129</v>
      </c>
      <c r="B104" s="34" t="s">
        <v>130</v>
      </c>
      <c r="C104" s="34">
        <v>90</v>
      </c>
      <c r="D104" s="34"/>
      <c r="E104" s="34">
        <v>150</v>
      </c>
      <c r="F104" s="34"/>
      <c r="G104" s="34"/>
      <c r="H104" s="34">
        <v>150</v>
      </c>
      <c r="I104" s="40">
        <v>99.284997582435594</v>
      </c>
      <c r="J104" s="34" t="s">
        <v>131</v>
      </c>
    </row>
    <row r="105" spans="1:10" ht="14.25" x14ac:dyDescent="0.2">
      <c r="A105" s="33" t="s">
        <v>132</v>
      </c>
      <c r="B105" s="34" t="s">
        <v>130</v>
      </c>
      <c r="C105" s="34">
        <v>82.5</v>
      </c>
      <c r="D105" s="34"/>
      <c r="E105" s="34">
        <v>140</v>
      </c>
      <c r="F105" s="34"/>
      <c r="G105" s="34"/>
      <c r="H105" s="34">
        <v>140</v>
      </c>
      <c r="I105" s="40">
        <v>95.577996969222994</v>
      </c>
      <c r="J105" s="34" t="s">
        <v>133</v>
      </c>
    </row>
    <row r="106" spans="1:10" ht="14.25" x14ac:dyDescent="0.2">
      <c r="A106" s="33" t="s">
        <v>134</v>
      </c>
      <c r="B106" s="34" t="s">
        <v>130</v>
      </c>
      <c r="C106" s="34">
        <v>100</v>
      </c>
      <c r="D106" s="34"/>
      <c r="E106" s="34">
        <v>150</v>
      </c>
      <c r="F106" s="34"/>
      <c r="G106" s="34"/>
      <c r="H106" s="34">
        <v>150</v>
      </c>
      <c r="I106" s="40">
        <v>91.964998841285706</v>
      </c>
      <c r="J106" s="34" t="s">
        <v>135</v>
      </c>
    </row>
  </sheetData>
  <mergeCells count="2">
    <mergeCell ref="B1:J1"/>
    <mergeCell ref="B93:J93"/>
  </mergeCells>
  <conditionalFormatting sqref="D3:F90 D95:F106">
    <cfRule type="cellIs" dxfId="1" priority="1"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workbookViewId="0"/>
  </sheetViews>
  <sheetFormatPr defaultColWidth="9.140625" defaultRowHeight="15" customHeight="1" x14ac:dyDescent="0.2"/>
  <sheetData>
    <row r="1" spans="1:256" ht="15" customHeight="1" x14ac:dyDescent="0.2">
      <c r="A1" s="5" t="s">
        <v>138</v>
      </c>
      <c r="B1" s="5" t="e">
        <f>AND('Full Results'!A1,"AAAAAAP+0wE=")</f>
        <v>#VALUE!</v>
      </c>
      <c r="C1" s="5" t="e">
        <f>AND('Full Results'!B1,"AAAAAAP+0wI=")</f>
        <v>#VALUE!</v>
      </c>
      <c r="D1" s="5" t="e">
        <f>AND('Full Results'!C1,"AAAAAAP+0wM=")</f>
        <v>#VALUE!</v>
      </c>
      <c r="E1" s="5" t="e">
        <f>AND('Full Results'!D1,"AAAAAAP+0wQ=")</f>
        <v>#VALUE!</v>
      </c>
      <c r="F1" s="5" t="e">
        <f>AND('Full Results'!E1,"AAAAAAP+0wU=")</f>
        <v>#VALUE!</v>
      </c>
      <c r="G1" s="5" t="s">
        <v>139</v>
      </c>
      <c r="H1" s="5" t="e">
        <f>AND('Full Results'!F1,"AAAAAAP+0wc=")</f>
        <v>#VALUE!</v>
      </c>
      <c r="I1" s="5" t="e">
        <f>AND('Full Results'!G1,"AAAAAAP+0wg=")</f>
        <v>#VALUE!</v>
      </c>
      <c r="J1" s="5" t="e">
        <f>AND('Full Results'!H1,"AAAAAAP+0wk=")</f>
        <v>#VALUE!</v>
      </c>
      <c r="K1" s="5" t="e">
        <f>AND('Full Results'!I1,"AAAAAAP+0wo=")</f>
        <v>#VALUE!</v>
      </c>
      <c r="L1" s="5" t="e">
        <f>AND('Full Results'!J1,"AAAAAAP+0ws=")</f>
        <v>#VALUE!</v>
      </c>
      <c r="M1" s="5" t="e">
        <f>AND('Full Results'!K1,"AAAAAAP+0ww=")</f>
        <v>#VALUE!</v>
      </c>
      <c r="N1" s="5" t="e">
        <f>AND('Full Results'!L1,"AAAAAAP+0w0=")</f>
        <v>#VALUE!</v>
      </c>
      <c r="O1" s="5" t="e">
        <f>AND('Full Results'!M1,"AAAAAAP+0w4=")</f>
        <v>#VALUE!</v>
      </c>
      <c r="P1" s="5" t="e">
        <f>AND('Full Results'!N1,"AAAAAAP+0w8=")</f>
        <v>#VALUE!</v>
      </c>
      <c r="Q1" s="5" t="e">
        <f>AND('Full Results'!O1,"AAAAAAP+0xA=")</f>
        <v>#VALUE!</v>
      </c>
      <c r="R1" s="5" t="e">
        <f>AND('Full Results'!P1,"AAAAAAP+0xE=")</f>
        <v>#VALUE!</v>
      </c>
      <c r="S1" s="5" t="e">
        <f>AND('Full Results'!Q1,"AAAAAAP+0xI=")</f>
        <v>#VALUE!</v>
      </c>
      <c r="T1" s="5" t="e">
        <f>AND('Full Results'!R1,"AAAAAAP+0xM=")</f>
        <v>#VALUE!</v>
      </c>
      <c r="U1" s="5" t="e">
        <f>AND('Full Results'!S1,"AAAAAAP+0xQ=")</f>
        <v>#VALUE!</v>
      </c>
      <c r="V1" s="5" t="e">
        <f>AND('Full Results'!T1,"AAAAAAP+0xU=")</f>
        <v>#VALUE!</v>
      </c>
      <c r="W1" s="5" t="e">
        <f>AND('Full Results'!U1,"AAAAAAP+0xY=")</f>
        <v>#VALUE!</v>
      </c>
      <c r="X1" s="5" t="e">
        <f>AND('Full Results'!V1,"AAAAAAP+0xc=")</f>
        <v>#VALUE!</v>
      </c>
      <c r="Y1" s="5" t="e">
        <f>AND('Full Results'!W1,"AAAAAAP+0xg=")</f>
        <v>#VALUE!</v>
      </c>
      <c r="Z1" s="5" t="s">
        <v>139</v>
      </c>
      <c r="AA1" s="5" t="s">
        <v>139</v>
      </c>
      <c r="AB1" s="5" t="s">
        <v>139</v>
      </c>
      <c r="AC1" s="5" t="s">
        <v>139</v>
      </c>
      <c r="AD1" s="5" t="s">
        <v>139</v>
      </c>
      <c r="AE1" s="5" t="s">
        <v>139</v>
      </c>
      <c r="AF1" s="5" t="s">
        <v>139</v>
      </c>
      <c r="AG1" s="5">
        <v>0</v>
      </c>
      <c r="AH1" s="5" t="e">
        <f>AND('Full Results'!A2,"AAAAAAP+0yE=")</f>
        <v>#VALUE!</v>
      </c>
      <c r="AI1" s="5" t="e">
        <f>AND('Full Results'!B2,"AAAAAAP+0yI=")</f>
        <v>#VALUE!</v>
      </c>
      <c r="AJ1" s="5" t="e">
        <f>AND('Full Results'!C2,"AAAAAAP+0yM=")</f>
        <v>#VALUE!</v>
      </c>
      <c r="AK1" s="5" t="e">
        <f>AND('Full Results'!D2,"AAAAAAP+0yQ=")</f>
        <v>#VALUE!</v>
      </c>
      <c r="AL1" s="5" t="e">
        <f>AND('Full Results'!E2,"AAAAAAP+0yU=")</f>
        <v>#VALUE!</v>
      </c>
      <c r="AM1" s="5" t="s">
        <v>139</v>
      </c>
      <c r="AN1" s="5" t="e">
        <f>AND('Full Results'!F2,"AAAAAAP+0yc=")</f>
        <v>#VALUE!</v>
      </c>
      <c r="AO1" s="5" t="e">
        <f>AND('Full Results'!G2,"AAAAAAP+0yg=")</f>
        <v>#VALUE!</v>
      </c>
      <c r="AP1" s="5" t="e">
        <f>AND('Full Results'!H2,"AAAAAAP+0yk=")</f>
        <v>#VALUE!</v>
      </c>
      <c r="AQ1" s="5" t="e">
        <f>AND('Full Results'!I2,"AAAAAAP+0yo=")</f>
        <v>#VALUE!</v>
      </c>
      <c r="AR1" s="5" t="e">
        <f>AND('Full Results'!J2,"AAAAAAP+0ys=")</f>
        <v>#VALUE!</v>
      </c>
      <c r="AS1" s="5" t="e">
        <f>AND('Full Results'!K2,"AAAAAAP+0yw=")</f>
        <v>#VALUE!</v>
      </c>
      <c r="AT1" s="5" t="e">
        <f>AND('Full Results'!L2,"AAAAAAP+0y0=")</f>
        <v>#VALUE!</v>
      </c>
      <c r="AU1" s="5" t="e">
        <f>AND('Full Results'!M2,"AAAAAAP+0y4=")</f>
        <v>#VALUE!</v>
      </c>
      <c r="AV1" s="5" t="e">
        <f>AND('Full Results'!N2,"AAAAAAP+0y8=")</f>
        <v>#VALUE!</v>
      </c>
      <c r="AW1" s="5" t="e">
        <f>AND('Full Results'!O2,"AAAAAAP+0zA=")</f>
        <v>#VALUE!</v>
      </c>
      <c r="AX1" s="5" t="e">
        <f>AND('Full Results'!P2,"AAAAAAP+0zE=")</f>
        <v>#VALUE!</v>
      </c>
      <c r="AY1" s="5" t="e">
        <f>AND('Full Results'!Q2,"AAAAAAP+0zI=")</f>
        <v>#VALUE!</v>
      </c>
      <c r="AZ1" s="5" t="e">
        <f>AND('Full Results'!R2,"AAAAAAP+0zM=")</f>
        <v>#VALUE!</v>
      </c>
      <c r="BA1" s="5" t="e">
        <f>AND('Full Results'!S2,"AAAAAAP+0zQ=")</f>
        <v>#VALUE!</v>
      </c>
      <c r="BB1" s="5" t="e">
        <f>AND('Full Results'!T2,"AAAAAAP+0zU=")</f>
        <v>#VALUE!</v>
      </c>
      <c r="BC1" s="5" t="e">
        <f>AND('Full Results'!U2,"AAAAAAP+0zY=")</f>
        <v>#VALUE!</v>
      </c>
      <c r="BD1" s="5" t="e">
        <f>AND('Full Results'!V2,"AAAAAAP+0zc=")</f>
        <v>#VALUE!</v>
      </c>
      <c r="BE1" s="5" t="e">
        <f>AND('Full Results'!W2,"AAAAAAP+0zg=")</f>
        <v>#VALUE!</v>
      </c>
      <c r="BF1" s="5" t="s">
        <v>139</v>
      </c>
      <c r="BG1" s="5" t="s">
        <v>139</v>
      </c>
      <c r="BH1" s="5" t="s">
        <v>139</v>
      </c>
      <c r="BI1" s="5" t="s">
        <v>139</v>
      </c>
      <c r="BJ1" s="5" t="s">
        <v>139</v>
      </c>
      <c r="BK1" s="5" t="s">
        <v>139</v>
      </c>
      <c r="BL1" s="5" t="s">
        <v>139</v>
      </c>
      <c r="BM1" s="5">
        <v>0</v>
      </c>
      <c r="BN1" s="5" t="e">
        <f>AND('Full Results'!A3,"AAAAAAP+00E=")</f>
        <v>#VALUE!</v>
      </c>
      <c r="BO1" s="5" t="e">
        <f>AND('Full Results'!B3,"AAAAAAP+00I=")</f>
        <v>#VALUE!</v>
      </c>
      <c r="BP1" s="5" t="e">
        <f>AND('Full Results'!C3,"AAAAAAP+00M=")</f>
        <v>#VALUE!</v>
      </c>
      <c r="BQ1" s="5" t="e">
        <f>AND('Full Results'!D3,"AAAAAAP+00Q=")</f>
        <v>#VALUE!</v>
      </c>
      <c r="BR1" s="5" t="e">
        <f>AND('Full Results'!E3,"AAAAAAP+00U=")</f>
        <v>#VALUE!</v>
      </c>
      <c r="BS1" s="5" t="s">
        <v>139</v>
      </c>
      <c r="BT1" s="5" t="e">
        <f>AND('Full Results'!F3,"AAAAAAP+00c=")</f>
        <v>#VALUE!</v>
      </c>
      <c r="BU1" s="5" t="e">
        <f>AND('Full Results'!G3,"AAAAAAP+00g=")</f>
        <v>#VALUE!</v>
      </c>
      <c r="BV1" s="5" t="e">
        <f>AND('Full Results'!H3,"AAAAAAP+00k=")</f>
        <v>#VALUE!</v>
      </c>
      <c r="BW1" s="5" t="e">
        <f>AND('Full Results'!I3,"AAAAAAP+00o=")</f>
        <v>#VALUE!</v>
      </c>
      <c r="BX1" s="5" t="e">
        <f>AND('Full Results'!J3,"AAAAAAP+00s=")</f>
        <v>#VALUE!</v>
      </c>
      <c r="BY1" s="5" t="e">
        <f>AND('Full Results'!K3,"AAAAAAP+00w=")</f>
        <v>#VALUE!</v>
      </c>
      <c r="BZ1" s="5" t="e">
        <f>AND('Full Results'!L3,"AAAAAAP+000=")</f>
        <v>#VALUE!</v>
      </c>
      <c r="CA1" s="5" t="e">
        <f>AND('Full Results'!M3,"AAAAAAP+004=")</f>
        <v>#VALUE!</v>
      </c>
      <c r="CB1" s="5" t="e">
        <f>AND('Full Results'!N3,"AAAAAAP+008=")</f>
        <v>#VALUE!</v>
      </c>
      <c r="CC1" s="5" t="e">
        <f>AND('Full Results'!O3,"AAAAAAP+01A=")</f>
        <v>#VALUE!</v>
      </c>
      <c r="CD1" s="5" t="e">
        <f>AND('Full Results'!P3,"AAAAAAP+01E=")</f>
        <v>#VALUE!</v>
      </c>
      <c r="CE1" s="5" t="e">
        <f>AND('Full Results'!Q3,"AAAAAAP+01I=")</f>
        <v>#VALUE!</v>
      </c>
      <c r="CF1" s="5" t="e">
        <f>AND('Full Results'!R3,"AAAAAAP+01M=")</f>
        <v>#VALUE!</v>
      </c>
      <c r="CG1" s="5" t="e">
        <f>AND('Full Results'!S3,"AAAAAAP+01Q=")</f>
        <v>#VALUE!</v>
      </c>
      <c r="CH1" s="5" t="e">
        <f>AND('Full Results'!T3,"AAAAAAP+01U=")</f>
        <v>#VALUE!</v>
      </c>
      <c r="CI1" s="5" t="e">
        <f>AND('Full Results'!U3,"AAAAAAP+01Y=")</f>
        <v>#VALUE!</v>
      </c>
      <c r="CJ1" s="5" t="e">
        <f>AND('Full Results'!V3,"AAAAAAP+01c=")</f>
        <v>#VALUE!</v>
      </c>
      <c r="CK1" s="5" t="e">
        <f>AND('Full Results'!W3,"AAAAAAP+01g=")</f>
        <v>#VALUE!</v>
      </c>
      <c r="CL1" s="5" t="s">
        <v>139</v>
      </c>
      <c r="CM1" s="5" t="s">
        <v>139</v>
      </c>
      <c r="CN1" s="5" t="s">
        <v>139</v>
      </c>
      <c r="CO1" s="5" t="s">
        <v>139</v>
      </c>
      <c r="CP1" s="5" t="s">
        <v>139</v>
      </c>
      <c r="CQ1" s="5" t="s">
        <v>139</v>
      </c>
      <c r="CR1" s="5" t="s">
        <v>139</v>
      </c>
      <c r="CS1" s="5">
        <v>0</v>
      </c>
      <c r="CT1" s="5" t="e">
        <f>AND('Full Results'!A4,"AAAAAAP+02E=")</f>
        <v>#VALUE!</v>
      </c>
      <c r="CU1" s="5" t="e">
        <f>AND('Full Results'!B4,"AAAAAAP+02I=")</f>
        <v>#VALUE!</v>
      </c>
      <c r="CV1" s="5" t="e">
        <f>AND('Full Results'!C4,"AAAAAAP+02M=")</f>
        <v>#VALUE!</v>
      </c>
      <c r="CW1" s="5" t="e">
        <f>AND('Full Results'!D4,"AAAAAAP+02Q=")</f>
        <v>#VALUE!</v>
      </c>
      <c r="CX1" s="5" t="e">
        <f>AND('Full Results'!E4,"AAAAAAP+02U=")</f>
        <v>#VALUE!</v>
      </c>
      <c r="CY1" s="5" t="s">
        <v>139</v>
      </c>
      <c r="CZ1" s="5" t="e">
        <f>AND('Full Results'!F4,"AAAAAAP+02c=")</f>
        <v>#VALUE!</v>
      </c>
      <c r="DA1" s="5" t="e">
        <f>AND('Full Results'!G4,"AAAAAAP+02g=")</f>
        <v>#VALUE!</v>
      </c>
      <c r="DB1" s="5" t="e">
        <f>AND('Full Results'!H4,"AAAAAAP+02k=")</f>
        <v>#VALUE!</v>
      </c>
      <c r="DC1" s="5" t="e">
        <f>AND('Full Results'!I4,"AAAAAAP+02o=")</f>
        <v>#VALUE!</v>
      </c>
      <c r="DD1" s="5" t="e">
        <f>AND('Full Results'!J4,"AAAAAAP+02s=")</f>
        <v>#VALUE!</v>
      </c>
      <c r="DE1" s="5" t="e">
        <f>AND('Full Results'!K4,"AAAAAAP+02w=")</f>
        <v>#VALUE!</v>
      </c>
      <c r="DF1" s="5" t="e">
        <f>AND('Full Results'!L4,"AAAAAAP+020=")</f>
        <v>#VALUE!</v>
      </c>
      <c r="DG1" s="5" t="e">
        <f>AND('Full Results'!M4,"AAAAAAP+024=")</f>
        <v>#VALUE!</v>
      </c>
      <c r="DH1" s="5" t="e">
        <f>AND('Full Results'!N4,"AAAAAAP+028=")</f>
        <v>#VALUE!</v>
      </c>
      <c r="DI1" s="5" t="e">
        <f>AND('Full Results'!O4,"AAAAAAP+03A=")</f>
        <v>#VALUE!</v>
      </c>
      <c r="DJ1" s="5" t="e">
        <f>AND('Full Results'!P4,"AAAAAAP+03E=")</f>
        <v>#VALUE!</v>
      </c>
      <c r="DK1" s="5" t="e">
        <f>AND('Full Results'!Q4,"AAAAAAP+03I=")</f>
        <v>#VALUE!</v>
      </c>
      <c r="DL1" s="5" t="e">
        <f>AND('Full Results'!R4,"AAAAAAP+03M=")</f>
        <v>#VALUE!</v>
      </c>
      <c r="DM1" s="5" t="e">
        <f>AND('Full Results'!S4,"AAAAAAP+03Q=")</f>
        <v>#VALUE!</v>
      </c>
      <c r="DN1" s="5" t="e">
        <f>AND('Full Results'!T4,"AAAAAAP+03U=")</f>
        <v>#VALUE!</v>
      </c>
      <c r="DO1" s="5" t="e">
        <f>AND('Full Results'!U4,"AAAAAAP+03Y=")</f>
        <v>#VALUE!</v>
      </c>
      <c r="DP1" s="5" t="e">
        <f>AND('Full Results'!V4,"AAAAAAP+03c=")</f>
        <v>#VALUE!</v>
      </c>
      <c r="DQ1" s="5" t="e">
        <f>AND('Full Results'!W4,"AAAAAAP+03g=")</f>
        <v>#VALUE!</v>
      </c>
      <c r="DR1" s="5" t="s">
        <v>139</v>
      </c>
      <c r="DS1" s="5" t="s">
        <v>139</v>
      </c>
      <c r="DT1" s="5" t="s">
        <v>139</v>
      </c>
      <c r="DU1" s="5" t="s">
        <v>139</v>
      </c>
      <c r="DV1" s="5" t="s">
        <v>139</v>
      </c>
      <c r="DW1" s="5" t="s">
        <v>139</v>
      </c>
      <c r="DX1" s="5" t="s">
        <v>139</v>
      </c>
      <c r="DY1" s="5">
        <v>0</v>
      </c>
      <c r="DZ1" s="5" t="e">
        <f>AND('Full Results'!A5,"AAAAAAP+04E=")</f>
        <v>#VALUE!</v>
      </c>
      <c r="EA1" s="5" t="e">
        <f>AND('Full Results'!B5,"AAAAAAP+04I=")</f>
        <v>#VALUE!</v>
      </c>
      <c r="EB1" s="5" t="e">
        <f>AND('Full Results'!C5,"AAAAAAP+04M=")</f>
        <v>#VALUE!</v>
      </c>
      <c r="EC1" s="5" t="e">
        <f>AND('Full Results'!D5,"AAAAAAP+04Q=")</f>
        <v>#VALUE!</v>
      </c>
      <c r="ED1" s="5" t="e">
        <f>AND('Full Results'!E5,"AAAAAAP+04U=")</f>
        <v>#VALUE!</v>
      </c>
      <c r="EE1" s="5" t="s">
        <v>139</v>
      </c>
      <c r="EF1" s="5" t="e">
        <f>AND('Full Results'!F5,"AAAAAAP+04c=")</f>
        <v>#VALUE!</v>
      </c>
      <c r="EG1" s="5" t="e">
        <f>AND('Full Results'!G5,"AAAAAAP+04g=")</f>
        <v>#VALUE!</v>
      </c>
      <c r="EH1" s="5" t="e">
        <f>AND('Full Results'!H5,"AAAAAAP+04k=")</f>
        <v>#VALUE!</v>
      </c>
      <c r="EI1" s="5" t="e">
        <f>AND('Full Results'!I5,"AAAAAAP+04o=")</f>
        <v>#VALUE!</v>
      </c>
      <c r="EJ1" s="5" t="e">
        <f>AND('Full Results'!J5,"AAAAAAP+04s=")</f>
        <v>#VALUE!</v>
      </c>
      <c r="EK1" s="5" t="e">
        <f>AND('Full Results'!K5,"AAAAAAP+04w=")</f>
        <v>#VALUE!</v>
      </c>
      <c r="EL1" s="5" t="e">
        <f>AND('Full Results'!L5,"AAAAAAP+040=")</f>
        <v>#VALUE!</v>
      </c>
      <c r="EM1" s="5" t="e">
        <f>AND('Full Results'!M5,"AAAAAAP+044=")</f>
        <v>#VALUE!</v>
      </c>
      <c r="EN1" s="5" t="e">
        <f>AND('Full Results'!N5,"AAAAAAP+048=")</f>
        <v>#VALUE!</v>
      </c>
      <c r="EO1" s="5" t="e">
        <f>AND('Full Results'!O5,"AAAAAAP+05A=")</f>
        <v>#VALUE!</v>
      </c>
      <c r="EP1" s="5" t="e">
        <f>AND('Full Results'!P5,"AAAAAAP+05E=")</f>
        <v>#VALUE!</v>
      </c>
      <c r="EQ1" s="5" t="e">
        <f>AND('Full Results'!Q5,"AAAAAAP+05I=")</f>
        <v>#VALUE!</v>
      </c>
      <c r="ER1" s="5" t="e">
        <f>AND('Full Results'!R5,"AAAAAAP+05M=")</f>
        <v>#VALUE!</v>
      </c>
      <c r="ES1" s="5" t="e">
        <f>AND('Full Results'!S5,"AAAAAAP+05Q=")</f>
        <v>#VALUE!</v>
      </c>
      <c r="ET1" s="5" t="e">
        <f>AND('Full Results'!T5,"AAAAAAP+05U=")</f>
        <v>#VALUE!</v>
      </c>
      <c r="EU1" s="5" t="e">
        <f>AND('Full Results'!U5,"AAAAAAP+05Y=")</f>
        <v>#VALUE!</v>
      </c>
      <c r="EV1" s="5" t="e">
        <f>AND('Full Results'!V5,"AAAAAAP+05c=")</f>
        <v>#VALUE!</v>
      </c>
      <c r="EW1" s="5" t="e">
        <f>AND('Full Results'!W5,"AAAAAAP+05g=")</f>
        <v>#VALUE!</v>
      </c>
      <c r="EX1" s="5" t="s">
        <v>139</v>
      </c>
      <c r="EY1" s="5" t="s">
        <v>139</v>
      </c>
      <c r="EZ1" s="5" t="s">
        <v>139</v>
      </c>
      <c r="FA1" s="5" t="s">
        <v>139</v>
      </c>
      <c r="FB1" s="5" t="s">
        <v>139</v>
      </c>
      <c r="FC1" s="5" t="s">
        <v>139</v>
      </c>
      <c r="FD1" s="5" t="s">
        <v>139</v>
      </c>
      <c r="FE1" s="5">
        <v>0</v>
      </c>
      <c r="FF1" s="5" t="e">
        <f>AND('Full Results'!A6,"AAAAAAP+06E=")</f>
        <v>#VALUE!</v>
      </c>
      <c r="FG1" s="5" t="e">
        <f>AND('Full Results'!B6,"AAAAAAP+06I=")</f>
        <v>#VALUE!</v>
      </c>
      <c r="FH1" s="5" t="e">
        <f>AND('Full Results'!C6,"AAAAAAP+06M=")</f>
        <v>#VALUE!</v>
      </c>
      <c r="FI1" s="5" t="e">
        <f>AND('Full Results'!D6,"AAAAAAP+06Q=")</f>
        <v>#VALUE!</v>
      </c>
      <c r="FJ1" s="5" t="e">
        <f>AND('Full Results'!E6,"AAAAAAP+06U=")</f>
        <v>#VALUE!</v>
      </c>
      <c r="FK1" s="5" t="s">
        <v>139</v>
      </c>
      <c r="FL1" s="5" t="e">
        <f>AND('Full Results'!F6,"AAAAAAP+06c=")</f>
        <v>#VALUE!</v>
      </c>
      <c r="FM1" s="5" t="e">
        <f>AND('Full Results'!G6,"AAAAAAP+06g=")</f>
        <v>#VALUE!</v>
      </c>
      <c r="FN1" s="5" t="e">
        <f>AND('Full Results'!H6,"AAAAAAP+06k=")</f>
        <v>#VALUE!</v>
      </c>
      <c r="FO1" s="5" t="e">
        <f>AND('Full Results'!I6,"AAAAAAP+06o=")</f>
        <v>#VALUE!</v>
      </c>
      <c r="FP1" s="5" t="e">
        <f>AND('Full Results'!J6,"AAAAAAP+06s=")</f>
        <v>#VALUE!</v>
      </c>
      <c r="FQ1" s="5" t="e">
        <f>AND('Full Results'!K6,"AAAAAAP+06w=")</f>
        <v>#VALUE!</v>
      </c>
      <c r="FR1" s="5" t="e">
        <f>AND('Full Results'!L6,"AAAAAAP+060=")</f>
        <v>#VALUE!</v>
      </c>
      <c r="FS1" s="5" t="e">
        <f>AND('Full Results'!M6,"AAAAAAP+064=")</f>
        <v>#VALUE!</v>
      </c>
      <c r="FT1" s="5" t="e">
        <f>AND('Full Results'!N6,"AAAAAAP+068=")</f>
        <v>#VALUE!</v>
      </c>
      <c r="FU1" s="5" t="e">
        <f>AND('Full Results'!O6,"AAAAAAP+07A=")</f>
        <v>#VALUE!</v>
      </c>
      <c r="FV1" s="5" t="e">
        <f>AND('Full Results'!P6,"AAAAAAP+07E=")</f>
        <v>#VALUE!</v>
      </c>
      <c r="FW1" s="5" t="e">
        <f>AND('Full Results'!Q6,"AAAAAAP+07I=")</f>
        <v>#VALUE!</v>
      </c>
      <c r="FX1" s="5" t="e">
        <f>AND('Full Results'!R6,"AAAAAAP+07M=")</f>
        <v>#VALUE!</v>
      </c>
      <c r="FY1" s="5" t="e">
        <f>AND('Full Results'!S6,"AAAAAAP+07Q=")</f>
        <v>#VALUE!</v>
      </c>
      <c r="FZ1" s="5" t="e">
        <f>AND('Full Results'!T6,"AAAAAAP+07U=")</f>
        <v>#VALUE!</v>
      </c>
      <c r="GA1" s="5" t="e">
        <f>AND('Full Results'!U6,"AAAAAAP+07Y=")</f>
        <v>#VALUE!</v>
      </c>
      <c r="GB1" s="5" t="e">
        <f>AND('Full Results'!V6,"AAAAAAP+07c=")</f>
        <v>#VALUE!</v>
      </c>
      <c r="GC1" s="5" t="e">
        <f>AND('Full Results'!W6,"AAAAAAP+07g=")</f>
        <v>#VALUE!</v>
      </c>
      <c r="GD1" s="5" t="s">
        <v>139</v>
      </c>
      <c r="GE1" s="5" t="s">
        <v>139</v>
      </c>
      <c r="GF1" s="5" t="s">
        <v>139</v>
      </c>
      <c r="GG1" s="5" t="s">
        <v>139</v>
      </c>
      <c r="GH1" s="5" t="s">
        <v>139</v>
      </c>
      <c r="GI1" s="5" t="s">
        <v>139</v>
      </c>
      <c r="GJ1" s="5" t="s">
        <v>139</v>
      </c>
      <c r="GK1" s="5">
        <v>0</v>
      </c>
      <c r="GL1" s="5" t="e">
        <f>AND('Full Results'!A7,"AAAAAAP+08E=")</f>
        <v>#VALUE!</v>
      </c>
      <c r="GM1" s="5" t="e">
        <f>AND('Full Results'!B7,"AAAAAAP+08I=")</f>
        <v>#VALUE!</v>
      </c>
      <c r="GN1" s="5" t="e">
        <f>AND('Full Results'!C7,"AAAAAAP+08M=")</f>
        <v>#VALUE!</v>
      </c>
      <c r="GO1" s="5" t="e">
        <f>AND('Full Results'!D7,"AAAAAAP+08Q=")</f>
        <v>#VALUE!</v>
      </c>
      <c r="GP1" s="5" t="e">
        <f>AND('Full Results'!E7,"AAAAAAP+08U=")</f>
        <v>#VALUE!</v>
      </c>
      <c r="GQ1" s="5" t="s">
        <v>139</v>
      </c>
      <c r="GR1" s="5" t="e">
        <f>AND('Full Results'!F7,"AAAAAAP+08c=")</f>
        <v>#VALUE!</v>
      </c>
      <c r="GS1" s="5" t="e">
        <f>AND('Full Results'!G7,"AAAAAAP+08g=")</f>
        <v>#VALUE!</v>
      </c>
      <c r="GT1" s="5" t="e">
        <f>AND('Full Results'!H7,"AAAAAAP+08k=")</f>
        <v>#VALUE!</v>
      </c>
      <c r="GU1" s="5" t="e">
        <f>AND('Full Results'!I7,"AAAAAAP+08o=")</f>
        <v>#VALUE!</v>
      </c>
      <c r="GV1" s="5" t="e">
        <f>AND('Full Results'!J7,"AAAAAAP+08s=")</f>
        <v>#VALUE!</v>
      </c>
      <c r="GW1" s="5" t="e">
        <f>AND('Full Results'!K7,"AAAAAAP+08w=")</f>
        <v>#VALUE!</v>
      </c>
      <c r="GX1" s="5" t="e">
        <f>AND('Full Results'!L7,"AAAAAAP+080=")</f>
        <v>#VALUE!</v>
      </c>
      <c r="GY1" s="5" t="e">
        <f>AND('Full Results'!M7,"AAAAAAP+084=")</f>
        <v>#VALUE!</v>
      </c>
      <c r="GZ1" s="5" t="e">
        <f>AND('Full Results'!N7,"AAAAAAP+088=")</f>
        <v>#VALUE!</v>
      </c>
      <c r="HA1" s="5" t="e">
        <f>AND('Full Results'!O7,"AAAAAAP+09A=")</f>
        <v>#VALUE!</v>
      </c>
      <c r="HB1" s="5" t="e">
        <f>AND('Full Results'!P7,"AAAAAAP+09E=")</f>
        <v>#VALUE!</v>
      </c>
      <c r="HC1" s="5" t="e">
        <f>AND('Full Results'!Q7,"AAAAAAP+09I=")</f>
        <v>#VALUE!</v>
      </c>
      <c r="HD1" s="5" t="e">
        <f>AND('Full Results'!R7,"AAAAAAP+09M=")</f>
        <v>#VALUE!</v>
      </c>
      <c r="HE1" s="5" t="e">
        <f>AND('Full Results'!S7,"AAAAAAP+09Q=")</f>
        <v>#VALUE!</v>
      </c>
      <c r="HF1" s="5" t="e">
        <f>AND('Full Results'!T7,"AAAAAAP+09U=")</f>
        <v>#VALUE!</v>
      </c>
      <c r="HG1" s="5" t="e">
        <f>AND('Full Results'!U7,"AAAAAAP+09Y=")</f>
        <v>#VALUE!</v>
      </c>
      <c r="HH1" s="5" t="e">
        <f>AND('Full Results'!V7,"AAAAAAP+09c=")</f>
        <v>#VALUE!</v>
      </c>
      <c r="HI1" s="5" t="e">
        <f>AND('Full Results'!W7,"AAAAAAP+09g=")</f>
        <v>#VALUE!</v>
      </c>
      <c r="HJ1" s="5" t="s">
        <v>139</v>
      </c>
      <c r="HK1" s="5" t="s">
        <v>139</v>
      </c>
      <c r="HL1" s="5" t="s">
        <v>139</v>
      </c>
      <c r="HM1" s="5" t="s">
        <v>139</v>
      </c>
      <c r="HN1" s="5" t="s">
        <v>139</v>
      </c>
      <c r="HO1" s="5" t="s">
        <v>139</v>
      </c>
      <c r="HP1" s="5" t="s">
        <v>139</v>
      </c>
      <c r="HQ1" s="5">
        <v>0</v>
      </c>
      <c r="HR1" s="5" t="e">
        <f>AND('Full Results'!A8,"AAAAAAP+0+E=")</f>
        <v>#VALUE!</v>
      </c>
      <c r="HS1" s="5" t="e">
        <f>AND('Full Results'!B8,"AAAAAAP+0+I=")</f>
        <v>#VALUE!</v>
      </c>
      <c r="HT1" s="5" t="e">
        <f>AND('Full Results'!C8,"AAAAAAP+0+M=")</f>
        <v>#VALUE!</v>
      </c>
      <c r="HU1" s="5" t="e">
        <f>AND('Full Results'!D8,"AAAAAAP+0+Q=")</f>
        <v>#VALUE!</v>
      </c>
      <c r="HV1" s="5" t="e">
        <f>AND('Full Results'!E8,"AAAAAAP+0+U=")</f>
        <v>#VALUE!</v>
      </c>
      <c r="HW1" s="5" t="s">
        <v>139</v>
      </c>
      <c r="HX1" s="5" t="e">
        <f>AND('Full Results'!F8,"AAAAAAP+0+c=")</f>
        <v>#VALUE!</v>
      </c>
      <c r="HY1" s="5" t="e">
        <f>AND('Full Results'!G8,"AAAAAAP+0+g=")</f>
        <v>#VALUE!</v>
      </c>
      <c r="HZ1" s="5" t="e">
        <f>AND('Full Results'!H8,"AAAAAAP+0+k=")</f>
        <v>#VALUE!</v>
      </c>
      <c r="IA1" s="5" t="e">
        <f>AND('Full Results'!I8,"AAAAAAP+0+o=")</f>
        <v>#VALUE!</v>
      </c>
      <c r="IB1" s="5" t="e">
        <f>AND('Full Results'!J8,"AAAAAAP+0+s=")</f>
        <v>#VALUE!</v>
      </c>
      <c r="IC1" s="5" t="e">
        <f>AND('Full Results'!K8,"AAAAAAP+0+w=")</f>
        <v>#VALUE!</v>
      </c>
      <c r="ID1" s="5" t="e">
        <f>AND('Full Results'!L8,"AAAAAAP+0+0=")</f>
        <v>#VALUE!</v>
      </c>
      <c r="IE1" s="5" t="e">
        <f>AND('Full Results'!M8,"AAAAAAP+0+4=")</f>
        <v>#VALUE!</v>
      </c>
      <c r="IF1" s="5" t="e">
        <f>AND('Full Results'!N8,"AAAAAAP+0+8=")</f>
        <v>#VALUE!</v>
      </c>
      <c r="IG1" s="5" t="e">
        <f>AND('Full Results'!O8,"AAAAAAP+0/A=")</f>
        <v>#VALUE!</v>
      </c>
      <c r="IH1" s="5" t="e">
        <f>AND('Full Results'!P8,"AAAAAAP+0/E=")</f>
        <v>#VALUE!</v>
      </c>
      <c r="II1" s="5" t="e">
        <f>AND('Full Results'!Q8,"AAAAAAP+0/I=")</f>
        <v>#VALUE!</v>
      </c>
      <c r="IJ1" s="5" t="e">
        <f>AND('Full Results'!R8,"AAAAAAP+0/M=")</f>
        <v>#VALUE!</v>
      </c>
      <c r="IK1" s="5" t="e">
        <f>AND('Full Results'!S8,"AAAAAAP+0/Q=")</f>
        <v>#VALUE!</v>
      </c>
      <c r="IL1" s="5" t="e">
        <f>AND('Full Results'!T8,"AAAAAAP+0/U=")</f>
        <v>#VALUE!</v>
      </c>
      <c r="IM1" s="5" t="e">
        <f>AND('Full Results'!U8,"AAAAAAP+0/Y=")</f>
        <v>#VALUE!</v>
      </c>
      <c r="IN1" s="5" t="e">
        <f>AND('Full Results'!V8,"AAAAAAP+0/c=")</f>
        <v>#VALUE!</v>
      </c>
      <c r="IO1" s="5" t="e">
        <f>AND('Full Results'!W8,"AAAAAAP+0/g=")</f>
        <v>#VALUE!</v>
      </c>
      <c r="IP1" s="5" t="s">
        <v>139</v>
      </c>
      <c r="IQ1" s="5" t="s">
        <v>139</v>
      </c>
      <c r="IR1" s="5" t="s">
        <v>139</v>
      </c>
      <c r="IS1" s="5" t="s">
        <v>139</v>
      </c>
      <c r="IT1" s="5" t="s">
        <v>139</v>
      </c>
      <c r="IU1" s="5" t="s">
        <v>139</v>
      </c>
      <c r="IV1" s="5" t="s">
        <v>139</v>
      </c>
    </row>
    <row r="2" spans="1:256" ht="15" customHeight="1" x14ac:dyDescent="0.2">
      <c r="A2" s="5">
        <v>0</v>
      </c>
      <c r="B2" s="5" t="e">
        <f>AND('Full Results'!A9,"AAAAADfb4gE=")</f>
        <v>#VALUE!</v>
      </c>
      <c r="C2" s="5" t="e">
        <f>AND('Full Results'!B9,"AAAAADfb4gI=")</f>
        <v>#VALUE!</v>
      </c>
      <c r="D2" s="5" t="e">
        <f>AND('Full Results'!C9,"AAAAADfb4gM=")</f>
        <v>#VALUE!</v>
      </c>
      <c r="E2" s="5" t="e">
        <f>AND('Full Results'!D9,"AAAAADfb4gQ=")</f>
        <v>#VALUE!</v>
      </c>
      <c r="F2" s="5" t="e">
        <f>AND('Full Results'!E9,"AAAAADfb4gU=")</f>
        <v>#VALUE!</v>
      </c>
      <c r="G2" s="5" t="s">
        <v>139</v>
      </c>
      <c r="H2" s="5" t="e">
        <f>AND('Full Results'!F9,"AAAAADfb4gc=")</f>
        <v>#VALUE!</v>
      </c>
      <c r="I2" s="5" t="e">
        <f>AND('Full Results'!G9,"AAAAADfb4gg=")</f>
        <v>#VALUE!</v>
      </c>
      <c r="J2" s="5" t="e">
        <f>AND('Full Results'!H9,"AAAAADfb4gk=")</f>
        <v>#VALUE!</v>
      </c>
      <c r="K2" s="5" t="e">
        <f>AND('Full Results'!I9,"AAAAADfb4go=")</f>
        <v>#VALUE!</v>
      </c>
      <c r="L2" s="5" t="e">
        <f>AND('Full Results'!J9,"AAAAADfb4gs=")</f>
        <v>#VALUE!</v>
      </c>
      <c r="M2" s="5" t="e">
        <f>AND('Full Results'!K9,"AAAAADfb4gw=")</f>
        <v>#VALUE!</v>
      </c>
      <c r="N2" s="5" t="e">
        <f>AND('Full Results'!L9,"AAAAADfb4g0=")</f>
        <v>#VALUE!</v>
      </c>
      <c r="O2" s="5" t="e">
        <f>AND('Full Results'!M9,"AAAAADfb4g4=")</f>
        <v>#VALUE!</v>
      </c>
      <c r="P2" s="5" t="e">
        <f>AND('Full Results'!N9,"AAAAADfb4g8=")</f>
        <v>#VALUE!</v>
      </c>
      <c r="Q2" s="5" t="e">
        <f>AND('Full Results'!O9,"AAAAADfb4hA=")</f>
        <v>#VALUE!</v>
      </c>
      <c r="R2" s="5" t="e">
        <f>AND('Full Results'!P9,"AAAAADfb4hE=")</f>
        <v>#VALUE!</v>
      </c>
      <c r="S2" s="5" t="e">
        <f>AND('Full Results'!Q9,"AAAAADfb4hI=")</f>
        <v>#VALUE!</v>
      </c>
      <c r="T2" s="5" t="e">
        <f>AND('Full Results'!R9,"AAAAADfb4hM=")</f>
        <v>#VALUE!</v>
      </c>
      <c r="U2" s="5" t="e">
        <f>AND('Full Results'!S9,"AAAAADfb4hQ=")</f>
        <v>#VALUE!</v>
      </c>
      <c r="V2" s="5" t="e">
        <f>AND('Full Results'!T9,"AAAAADfb4hU=")</f>
        <v>#VALUE!</v>
      </c>
      <c r="W2" s="5" t="e">
        <f>AND('Full Results'!U9,"AAAAADfb4hY=")</f>
        <v>#VALUE!</v>
      </c>
      <c r="X2" s="5" t="e">
        <f>AND('Full Results'!V9,"AAAAADfb4hc=")</f>
        <v>#VALUE!</v>
      </c>
      <c r="Y2" s="5" t="e">
        <f>AND('Full Results'!W9,"AAAAADfb4hg=")</f>
        <v>#VALUE!</v>
      </c>
      <c r="Z2" s="5" t="s">
        <v>139</v>
      </c>
      <c r="AA2" s="5" t="s">
        <v>139</v>
      </c>
      <c r="AB2" s="5" t="s">
        <v>139</v>
      </c>
      <c r="AC2" s="5" t="s">
        <v>139</v>
      </c>
      <c r="AD2" s="5" t="s">
        <v>139</v>
      </c>
      <c r="AE2" s="5" t="s">
        <v>139</v>
      </c>
      <c r="AF2" s="5" t="s">
        <v>139</v>
      </c>
      <c r="AG2" s="5">
        <v>0</v>
      </c>
      <c r="AH2" s="5" t="e">
        <f>AND('Full Results'!A10,"AAAAADfb4iE=")</f>
        <v>#VALUE!</v>
      </c>
      <c r="AI2" s="5" t="e">
        <f>AND('Full Results'!B10,"AAAAADfb4iI=")</f>
        <v>#VALUE!</v>
      </c>
      <c r="AJ2" s="5" t="e">
        <f>AND('Full Results'!C10,"AAAAADfb4iM=")</f>
        <v>#VALUE!</v>
      </c>
      <c r="AK2" s="5" t="e">
        <f>AND('Full Results'!D10,"AAAAADfb4iQ=")</f>
        <v>#VALUE!</v>
      </c>
      <c r="AL2" s="5" t="e">
        <f>AND('Full Results'!E10,"AAAAADfb4iU=")</f>
        <v>#VALUE!</v>
      </c>
      <c r="AM2" s="5" t="s">
        <v>139</v>
      </c>
      <c r="AN2" s="5" t="e">
        <f>AND('Full Results'!F10,"AAAAADfb4ic=")</f>
        <v>#VALUE!</v>
      </c>
      <c r="AO2" s="5" t="e">
        <f>AND('Full Results'!G10,"AAAAADfb4ig=")</f>
        <v>#VALUE!</v>
      </c>
      <c r="AP2" s="5" t="e">
        <f>AND('Full Results'!H10,"AAAAADfb4ik=")</f>
        <v>#VALUE!</v>
      </c>
      <c r="AQ2" s="5" t="e">
        <f>AND('Full Results'!I10,"AAAAADfb4io=")</f>
        <v>#VALUE!</v>
      </c>
      <c r="AR2" s="5" t="e">
        <f>AND('Full Results'!J10,"AAAAADfb4is=")</f>
        <v>#VALUE!</v>
      </c>
      <c r="AS2" s="5" t="e">
        <f>AND('Full Results'!K10,"AAAAADfb4iw=")</f>
        <v>#VALUE!</v>
      </c>
      <c r="AT2" s="5" t="e">
        <f>AND('Full Results'!L10,"AAAAADfb4i0=")</f>
        <v>#VALUE!</v>
      </c>
      <c r="AU2" s="5" t="e">
        <f>AND('Full Results'!M10,"AAAAADfb4i4=")</f>
        <v>#VALUE!</v>
      </c>
      <c r="AV2" s="5" t="e">
        <f>AND('Full Results'!N10,"AAAAADfb4i8=")</f>
        <v>#VALUE!</v>
      </c>
      <c r="AW2" s="5" t="e">
        <f>AND('Full Results'!O10,"AAAAADfb4jA=")</f>
        <v>#VALUE!</v>
      </c>
      <c r="AX2" s="5" t="e">
        <f>AND('Full Results'!P10,"AAAAADfb4jE=")</f>
        <v>#VALUE!</v>
      </c>
      <c r="AY2" s="5" t="e">
        <f>AND('Full Results'!Q10,"AAAAADfb4jI=")</f>
        <v>#VALUE!</v>
      </c>
      <c r="AZ2" s="5" t="e">
        <f>AND('Full Results'!R10,"AAAAADfb4jM=")</f>
        <v>#VALUE!</v>
      </c>
      <c r="BA2" s="5" t="e">
        <f>AND('Full Results'!S10,"AAAAADfb4jQ=")</f>
        <v>#VALUE!</v>
      </c>
      <c r="BB2" s="5" t="e">
        <f>AND('Full Results'!T10,"AAAAADfb4jU=")</f>
        <v>#VALUE!</v>
      </c>
      <c r="BC2" s="5" t="e">
        <f>AND('Full Results'!U10,"AAAAADfb4jY=")</f>
        <v>#VALUE!</v>
      </c>
      <c r="BD2" s="5" t="e">
        <f>AND('Full Results'!V10,"AAAAADfb4jc=")</f>
        <v>#VALUE!</v>
      </c>
      <c r="BE2" s="5" t="e">
        <f>AND('Full Results'!W10,"AAAAADfb4jg=")</f>
        <v>#VALUE!</v>
      </c>
      <c r="BF2" s="5" t="s">
        <v>139</v>
      </c>
      <c r="BG2" s="5" t="s">
        <v>139</v>
      </c>
      <c r="BH2" s="5" t="s">
        <v>139</v>
      </c>
      <c r="BI2" s="5" t="s">
        <v>139</v>
      </c>
      <c r="BJ2" s="5" t="s">
        <v>139</v>
      </c>
      <c r="BK2" s="5" t="s">
        <v>139</v>
      </c>
      <c r="BL2" s="5" t="s">
        <v>139</v>
      </c>
      <c r="BM2" s="5">
        <v>0</v>
      </c>
      <c r="BN2" s="5" t="e">
        <f>AND('Full Results'!A11,"AAAAADfb4kE=")</f>
        <v>#VALUE!</v>
      </c>
      <c r="BO2" s="5" t="e">
        <f>AND('Full Results'!B11,"AAAAADfb4kI=")</f>
        <v>#VALUE!</v>
      </c>
      <c r="BP2" s="5" t="e">
        <f>AND('Full Results'!C11,"AAAAADfb4kM=")</f>
        <v>#VALUE!</v>
      </c>
      <c r="BQ2" s="5" t="e">
        <f>AND('Full Results'!D11,"AAAAADfb4kQ=")</f>
        <v>#VALUE!</v>
      </c>
      <c r="BR2" s="5" t="e">
        <f>AND('Full Results'!E11,"AAAAADfb4kU=")</f>
        <v>#VALUE!</v>
      </c>
      <c r="BS2" s="5" t="s">
        <v>139</v>
      </c>
      <c r="BT2" s="5" t="e">
        <f>AND('Full Results'!F11,"AAAAADfb4kc=")</f>
        <v>#VALUE!</v>
      </c>
      <c r="BU2" s="5" t="e">
        <f>AND('Full Results'!G11,"AAAAADfb4kg=")</f>
        <v>#VALUE!</v>
      </c>
      <c r="BV2" s="5" t="e">
        <f>AND('Full Results'!H11,"AAAAADfb4kk=")</f>
        <v>#VALUE!</v>
      </c>
      <c r="BW2" s="5" t="e">
        <f>AND('Full Results'!I11,"AAAAADfb4ko=")</f>
        <v>#VALUE!</v>
      </c>
      <c r="BX2" s="5" t="e">
        <f>AND('Full Results'!J11,"AAAAADfb4ks=")</f>
        <v>#VALUE!</v>
      </c>
      <c r="BY2" s="5" t="e">
        <f>AND('Full Results'!K11,"AAAAADfb4kw=")</f>
        <v>#VALUE!</v>
      </c>
      <c r="BZ2" s="5" t="e">
        <f>AND('Full Results'!L11,"AAAAADfb4k0=")</f>
        <v>#VALUE!</v>
      </c>
      <c r="CA2" s="5" t="e">
        <f>AND('Full Results'!M11,"AAAAADfb4k4=")</f>
        <v>#VALUE!</v>
      </c>
      <c r="CB2" s="5" t="e">
        <f>AND('Full Results'!N11,"AAAAADfb4k8=")</f>
        <v>#VALUE!</v>
      </c>
      <c r="CC2" s="5" t="e">
        <f>AND('Full Results'!O11,"AAAAADfb4lA=")</f>
        <v>#VALUE!</v>
      </c>
      <c r="CD2" s="5" t="e">
        <f>AND('Full Results'!P11,"AAAAADfb4lE=")</f>
        <v>#VALUE!</v>
      </c>
      <c r="CE2" s="5" t="e">
        <f>AND('Full Results'!Q11,"AAAAADfb4lI=")</f>
        <v>#VALUE!</v>
      </c>
      <c r="CF2" s="5" t="e">
        <f>AND('Full Results'!R11,"AAAAADfb4lM=")</f>
        <v>#VALUE!</v>
      </c>
      <c r="CG2" s="5" t="e">
        <f>AND('Full Results'!S11,"AAAAADfb4lQ=")</f>
        <v>#VALUE!</v>
      </c>
      <c r="CH2" s="5" t="e">
        <f>AND('Full Results'!T11,"AAAAADfb4lU=")</f>
        <v>#VALUE!</v>
      </c>
      <c r="CI2" s="5" t="e">
        <f>AND('Full Results'!U11,"AAAAADfb4lY=")</f>
        <v>#VALUE!</v>
      </c>
      <c r="CJ2" s="5" t="e">
        <f>AND('Full Results'!V11,"AAAAADfb4lc=")</f>
        <v>#VALUE!</v>
      </c>
      <c r="CK2" s="5" t="e">
        <f>AND('Full Results'!W11,"AAAAADfb4lg=")</f>
        <v>#VALUE!</v>
      </c>
      <c r="CL2" s="5" t="s">
        <v>139</v>
      </c>
      <c r="CM2" s="5" t="s">
        <v>139</v>
      </c>
      <c r="CN2" s="5" t="s">
        <v>139</v>
      </c>
      <c r="CO2" s="5" t="s">
        <v>139</v>
      </c>
      <c r="CP2" s="5" t="s">
        <v>139</v>
      </c>
      <c r="CQ2" s="5" t="s">
        <v>139</v>
      </c>
      <c r="CR2" s="5" t="s">
        <v>139</v>
      </c>
      <c r="CS2" s="5">
        <v>0</v>
      </c>
      <c r="CT2" s="5" t="e">
        <f>AND('Full Results'!A12,"AAAAADfb4mE=")</f>
        <v>#VALUE!</v>
      </c>
      <c r="CU2" s="5" t="e">
        <f>AND('Full Results'!B12,"AAAAADfb4mI=")</f>
        <v>#VALUE!</v>
      </c>
      <c r="CV2" s="5" t="e">
        <f>AND('Full Results'!C12,"AAAAADfb4mM=")</f>
        <v>#VALUE!</v>
      </c>
      <c r="CW2" s="5" t="e">
        <f>AND('Full Results'!D12,"AAAAADfb4mQ=")</f>
        <v>#VALUE!</v>
      </c>
      <c r="CX2" s="5" t="e">
        <f>AND('Full Results'!E12,"AAAAADfb4mU=")</f>
        <v>#VALUE!</v>
      </c>
      <c r="CY2" s="5" t="s">
        <v>139</v>
      </c>
      <c r="CZ2" s="5" t="e">
        <f>AND('Full Results'!F12,"AAAAADfb4mc=")</f>
        <v>#VALUE!</v>
      </c>
      <c r="DA2" s="5" t="e">
        <f>AND('Full Results'!G12,"AAAAADfb4mg=")</f>
        <v>#VALUE!</v>
      </c>
      <c r="DB2" s="5" t="e">
        <f>AND('Full Results'!H12,"AAAAADfb4mk=")</f>
        <v>#VALUE!</v>
      </c>
      <c r="DC2" s="5" t="e">
        <f>AND('Full Results'!I12,"AAAAADfb4mo=")</f>
        <v>#VALUE!</v>
      </c>
      <c r="DD2" s="5" t="e">
        <f>AND('Full Results'!J12,"AAAAADfb4ms=")</f>
        <v>#VALUE!</v>
      </c>
      <c r="DE2" s="5" t="e">
        <f>AND('Full Results'!K12,"AAAAADfb4mw=")</f>
        <v>#VALUE!</v>
      </c>
      <c r="DF2" s="5" t="e">
        <f>AND('Full Results'!L12,"AAAAADfb4m0=")</f>
        <v>#VALUE!</v>
      </c>
      <c r="DG2" s="5" t="e">
        <f>AND('Full Results'!M12,"AAAAADfb4m4=")</f>
        <v>#VALUE!</v>
      </c>
      <c r="DH2" s="5" t="e">
        <f>AND('Full Results'!N12,"AAAAADfb4m8=")</f>
        <v>#VALUE!</v>
      </c>
      <c r="DI2" s="5" t="e">
        <f>AND('Full Results'!O12,"AAAAADfb4nA=")</f>
        <v>#VALUE!</v>
      </c>
      <c r="DJ2" s="5" t="e">
        <f>AND('Full Results'!P12,"AAAAADfb4nE=")</f>
        <v>#VALUE!</v>
      </c>
      <c r="DK2" s="5" t="e">
        <f>AND('Full Results'!Q12,"AAAAADfb4nI=")</f>
        <v>#VALUE!</v>
      </c>
      <c r="DL2" s="5" t="e">
        <f>AND('Full Results'!R12,"AAAAADfb4nM=")</f>
        <v>#VALUE!</v>
      </c>
      <c r="DM2" s="5" t="e">
        <f>AND('Full Results'!S12,"AAAAADfb4nQ=")</f>
        <v>#VALUE!</v>
      </c>
      <c r="DN2" s="5" t="e">
        <f>AND('Full Results'!T12,"AAAAADfb4nU=")</f>
        <v>#VALUE!</v>
      </c>
      <c r="DO2" s="5" t="e">
        <f>AND('Full Results'!U12,"AAAAADfb4nY=")</f>
        <v>#VALUE!</v>
      </c>
      <c r="DP2" s="5" t="e">
        <f>AND('Full Results'!V12,"AAAAADfb4nc=")</f>
        <v>#VALUE!</v>
      </c>
      <c r="DQ2" s="5" t="e">
        <f>AND('Full Results'!W12,"AAAAADfb4ng=")</f>
        <v>#VALUE!</v>
      </c>
      <c r="DR2" s="5" t="s">
        <v>139</v>
      </c>
      <c r="DS2" s="5" t="s">
        <v>139</v>
      </c>
      <c r="DT2" s="5" t="s">
        <v>139</v>
      </c>
      <c r="DU2" s="5" t="s">
        <v>139</v>
      </c>
      <c r="DV2" s="5" t="s">
        <v>139</v>
      </c>
      <c r="DW2" s="5" t="s">
        <v>139</v>
      </c>
      <c r="DX2" s="5" t="s">
        <v>139</v>
      </c>
      <c r="DY2" s="5">
        <v>0</v>
      </c>
      <c r="DZ2" s="5" t="e">
        <f>AND('Full Results'!A13,"AAAAADfb4oE=")</f>
        <v>#VALUE!</v>
      </c>
      <c r="EA2" s="5" t="e">
        <f>AND('Full Results'!B13,"AAAAADfb4oI=")</f>
        <v>#VALUE!</v>
      </c>
      <c r="EB2" s="5" t="e">
        <f>AND('Full Results'!C13,"AAAAADfb4oM=")</f>
        <v>#VALUE!</v>
      </c>
      <c r="EC2" s="5" t="e">
        <f>AND('Full Results'!D13,"AAAAADfb4oQ=")</f>
        <v>#VALUE!</v>
      </c>
      <c r="ED2" s="5" t="e">
        <f>AND('Full Results'!E13,"AAAAADfb4oU=")</f>
        <v>#VALUE!</v>
      </c>
      <c r="EE2" s="5" t="s">
        <v>139</v>
      </c>
      <c r="EF2" s="5" t="e">
        <f>AND('Full Results'!F13,"AAAAADfb4oc=")</f>
        <v>#VALUE!</v>
      </c>
      <c r="EG2" s="5" t="e">
        <f>AND('Full Results'!G13,"AAAAADfb4og=")</f>
        <v>#VALUE!</v>
      </c>
      <c r="EH2" s="5" t="e">
        <f>AND('Full Results'!H13,"AAAAADfb4ok=")</f>
        <v>#VALUE!</v>
      </c>
      <c r="EI2" s="5" t="e">
        <f>AND('Full Results'!I13,"AAAAADfb4oo=")</f>
        <v>#VALUE!</v>
      </c>
      <c r="EJ2" s="5" t="e">
        <f>AND('Full Results'!J13,"AAAAADfb4os=")</f>
        <v>#VALUE!</v>
      </c>
      <c r="EK2" s="5" t="e">
        <f>AND('Full Results'!K13,"AAAAADfb4ow=")</f>
        <v>#VALUE!</v>
      </c>
      <c r="EL2" s="5" t="e">
        <f>AND('Full Results'!L13,"AAAAADfb4o0=")</f>
        <v>#VALUE!</v>
      </c>
      <c r="EM2" s="5" t="e">
        <f>AND('Full Results'!M13,"AAAAADfb4o4=")</f>
        <v>#VALUE!</v>
      </c>
      <c r="EN2" s="5" t="e">
        <f>AND('Full Results'!N13,"AAAAADfb4o8=")</f>
        <v>#VALUE!</v>
      </c>
      <c r="EO2" s="5" t="e">
        <f>AND('Full Results'!O13,"AAAAADfb4pA=")</f>
        <v>#VALUE!</v>
      </c>
      <c r="EP2" s="5" t="e">
        <f>AND('Full Results'!P13,"AAAAADfb4pE=")</f>
        <v>#VALUE!</v>
      </c>
      <c r="EQ2" s="5" t="e">
        <f>AND('Full Results'!Q13,"AAAAADfb4pI=")</f>
        <v>#VALUE!</v>
      </c>
      <c r="ER2" s="5" t="e">
        <f>AND('Full Results'!R13,"AAAAADfb4pM=")</f>
        <v>#VALUE!</v>
      </c>
      <c r="ES2" s="5" t="e">
        <f>AND('Full Results'!S13,"AAAAADfb4pQ=")</f>
        <v>#VALUE!</v>
      </c>
      <c r="ET2" s="5" t="e">
        <f>AND('Full Results'!T13,"AAAAADfb4pU=")</f>
        <v>#VALUE!</v>
      </c>
      <c r="EU2" s="5" t="e">
        <f>AND('Full Results'!U13,"AAAAADfb4pY=")</f>
        <v>#VALUE!</v>
      </c>
      <c r="EV2" s="5" t="e">
        <f>AND('Full Results'!V13,"AAAAADfb4pc=")</f>
        <v>#VALUE!</v>
      </c>
      <c r="EW2" s="5" t="e">
        <f>AND('Full Results'!W13,"AAAAADfb4pg=")</f>
        <v>#VALUE!</v>
      </c>
      <c r="EX2" s="5" t="s">
        <v>139</v>
      </c>
      <c r="EY2" s="5" t="s">
        <v>139</v>
      </c>
      <c r="EZ2" s="5" t="s">
        <v>139</v>
      </c>
      <c r="FA2" s="5" t="s">
        <v>139</v>
      </c>
      <c r="FB2" s="5" t="s">
        <v>139</v>
      </c>
      <c r="FC2" s="5" t="s">
        <v>139</v>
      </c>
      <c r="FD2" s="5" t="s">
        <v>139</v>
      </c>
      <c r="FE2" s="5">
        <v>0</v>
      </c>
      <c r="FF2" s="5" t="e">
        <f>AND('Full Results'!A14,"AAAAADfb4qE=")</f>
        <v>#VALUE!</v>
      </c>
      <c r="FG2" s="5" t="e">
        <f>AND('Full Results'!B14,"AAAAADfb4qI=")</f>
        <v>#VALUE!</v>
      </c>
      <c r="FH2" s="5" t="e">
        <f>AND('Full Results'!C14,"AAAAADfb4qM=")</f>
        <v>#VALUE!</v>
      </c>
      <c r="FI2" s="5" t="e">
        <f>AND('Full Results'!D14,"AAAAADfb4qQ=")</f>
        <v>#VALUE!</v>
      </c>
      <c r="FJ2" s="5" t="e">
        <f>AND('Full Results'!E14,"AAAAADfb4qU=")</f>
        <v>#VALUE!</v>
      </c>
      <c r="FK2" s="5" t="s">
        <v>139</v>
      </c>
      <c r="FL2" s="5" t="e">
        <f>AND('Full Results'!F14,"AAAAADfb4qc=")</f>
        <v>#VALUE!</v>
      </c>
      <c r="FM2" s="5" t="e">
        <f>AND('Full Results'!G14,"AAAAADfb4qg=")</f>
        <v>#VALUE!</v>
      </c>
      <c r="FN2" s="5" t="e">
        <f>AND('Full Results'!H14,"AAAAADfb4qk=")</f>
        <v>#VALUE!</v>
      </c>
      <c r="FO2" s="5" t="e">
        <f>AND('Full Results'!I14,"AAAAADfb4qo=")</f>
        <v>#VALUE!</v>
      </c>
      <c r="FP2" s="5" t="e">
        <f>AND('Full Results'!J14,"AAAAADfb4qs=")</f>
        <v>#VALUE!</v>
      </c>
      <c r="FQ2" s="5" t="e">
        <f>AND('Full Results'!K14,"AAAAADfb4qw=")</f>
        <v>#VALUE!</v>
      </c>
      <c r="FR2" s="5" t="e">
        <f>AND('Full Results'!L14,"AAAAADfb4q0=")</f>
        <v>#VALUE!</v>
      </c>
      <c r="FS2" s="5" t="e">
        <f>AND('Full Results'!M14,"AAAAADfb4q4=")</f>
        <v>#VALUE!</v>
      </c>
      <c r="FT2" s="5" t="e">
        <f>AND('Full Results'!N14,"AAAAADfb4q8=")</f>
        <v>#VALUE!</v>
      </c>
      <c r="FU2" s="5" t="e">
        <f>AND('Full Results'!O14,"AAAAADfb4rA=")</f>
        <v>#VALUE!</v>
      </c>
      <c r="FV2" s="5" t="e">
        <f>AND('Full Results'!P14,"AAAAADfb4rE=")</f>
        <v>#VALUE!</v>
      </c>
      <c r="FW2" s="5" t="e">
        <f>AND('Full Results'!Q14,"AAAAADfb4rI=")</f>
        <v>#VALUE!</v>
      </c>
      <c r="FX2" s="5" t="e">
        <f>AND('Full Results'!R14,"AAAAADfb4rM=")</f>
        <v>#VALUE!</v>
      </c>
      <c r="FY2" s="5" t="e">
        <f>AND('Full Results'!S14,"AAAAADfb4rQ=")</f>
        <v>#VALUE!</v>
      </c>
      <c r="FZ2" s="5" t="e">
        <f>AND('Full Results'!T14,"AAAAADfb4rU=")</f>
        <v>#VALUE!</v>
      </c>
      <c r="GA2" s="5" t="e">
        <f>AND('Full Results'!U14,"AAAAADfb4rY=")</f>
        <v>#VALUE!</v>
      </c>
      <c r="GB2" s="5" t="e">
        <f>AND('Full Results'!V14,"AAAAADfb4rc=")</f>
        <v>#VALUE!</v>
      </c>
      <c r="GC2" s="5" t="e">
        <f>AND('Full Results'!W14,"AAAAADfb4rg=")</f>
        <v>#VALUE!</v>
      </c>
      <c r="GD2" s="5" t="s">
        <v>139</v>
      </c>
      <c r="GE2" s="5" t="s">
        <v>139</v>
      </c>
      <c r="GF2" s="5" t="s">
        <v>139</v>
      </c>
      <c r="GG2" s="5" t="s">
        <v>139</v>
      </c>
      <c r="GH2" s="5" t="s">
        <v>139</v>
      </c>
      <c r="GI2" s="5" t="s">
        <v>139</v>
      </c>
      <c r="GJ2" s="5" t="s">
        <v>139</v>
      </c>
      <c r="GK2" s="5">
        <v>0</v>
      </c>
      <c r="GL2" s="5" t="e">
        <f>AND('Full Results'!A15,"AAAAADfb4sE=")</f>
        <v>#VALUE!</v>
      </c>
      <c r="GM2" s="5" t="e">
        <f>AND('Full Results'!B15,"AAAAADfb4sI=")</f>
        <v>#VALUE!</v>
      </c>
      <c r="GN2" s="5" t="e">
        <f>AND('Full Results'!C15,"AAAAADfb4sM=")</f>
        <v>#VALUE!</v>
      </c>
      <c r="GO2" s="5" t="e">
        <f>AND('Full Results'!D15,"AAAAADfb4sQ=")</f>
        <v>#VALUE!</v>
      </c>
      <c r="GP2" s="5" t="e">
        <f>AND('Full Results'!E15,"AAAAADfb4sU=")</f>
        <v>#VALUE!</v>
      </c>
      <c r="GQ2" s="5" t="s">
        <v>139</v>
      </c>
      <c r="GR2" s="5" t="e">
        <f>AND('Full Results'!F15,"AAAAADfb4sc=")</f>
        <v>#VALUE!</v>
      </c>
      <c r="GS2" s="5" t="e">
        <f>AND('Full Results'!G15,"AAAAADfb4sg=")</f>
        <v>#VALUE!</v>
      </c>
      <c r="GT2" s="5" t="e">
        <f>AND('Full Results'!H15,"AAAAADfb4sk=")</f>
        <v>#VALUE!</v>
      </c>
      <c r="GU2" s="5" t="e">
        <f>AND('Full Results'!I15,"AAAAADfb4so=")</f>
        <v>#VALUE!</v>
      </c>
      <c r="GV2" s="5" t="e">
        <f>AND('Full Results'!J15,"AAAAADfb4ss=")</f>
        <v>#VALUE!</v>
      </c>
      <c r="GW2" s="5" t="e">
        <f>AND('Full Results'!K15,"AAAAADfb4sw=")</f>
        <v>#VALUE!</v>
      </c>
      <c r="GX2" s="5" t="e">
        <f>AND('Full Results'!L15,"AAAAADfb4s0=")</f>
        <v>#VALUE!</v>
      </c>
      <c r="GY2" s="5" t="e">
        <f>AND('Full Results'!M15,"AAAAADfb4s4=")</f>
        <v>#VALUE!</v>
      </c>
      <c r="GZ2" s="5" t="e">
        <f>AND('Full Results'!N15,"AAAAADfb4s8=")</f>
        <v>#VALUE!</v>
      </c>
      <c r="HA2" s="5" t="e">
        <f>AND('Full Results'!O15,"AAAAADfb4tA=")</f>
        <v>#VALUE!</v>
      </c>
      <c r="HB2" s="5" t="e">
        <f>AND('Full Results'!P15,"AAAAADfb4tE=")</f>
        <v>#VALUE!</v>
      </c>
      <c r="HC2" s="5" t="e">
        <f>AND('Full Results'!Q15,"AAAAADfb4tI=")</f>
        <v>#VALUE!</v>
      </c>
      <c r="HD2" s="5" t="e">
        <f>AND('Full Results'!R15,"AAAAADfb4tM=")</f>
        <v>#VALUE!</v>
      </c>
      <c r="HE2" s="5" t="e">
        <f>AND('Full Results'!S15,"AAAAADfb4tQ=")</f>
        <v>#VALUE!</v>
      </c>
      <c r="HF2" s="5" t="e">
        <f>AND('Full Results'!T15,"AAAAADfb4tU=")</f>
        <v>#VALUE!</v>
      </c>
      <c r="HG2" s="5" t="e">
        <f>AND('Full Results'!U15,"AAAAADfb4tY=")</f>
        <v>#VALUE!</v>
      </c>
      <c r="HH2" s="5" t="e">
        <f>AND('Full Results'!V15,"AAAAADfb4tc=")</f>
        <v>#VALUE!</v>
      </c>
      <c r="HI2" s="5" t="e">
        <f>AND('Full Results'!W15,"AAAAADfb4tg=")</f>
        <v>#VALUE!</v>
      </c>
      <c r="HJ2" s="5" t="s">
        <v>139</v>
      </c>
      <c r="HK2" s="5" t="s">
        <v>139</v>
      </c>
      <c r="HL2" s="5" t="s">
        <v>139</v>
      </c>
      <c r="HM2" s="5" t="s">
        <v>139</v>
      </c>
      <c r="HN2" s="5" t="s">
        <v>139</v>
      </c>
      <c r="HO2" s="5" t="s">
        <v>139</v>
      </c>
      <c r="HP2" s="5" t="s">
        <v>139</v>
      </c>
      <c r="HQ2" s="5">
        <v>0</v>
      </c>
      <c r="HR2" s="5" t="e">
        <f>AND('Full Results'!A16,"AAAAADfb4uE=")</f>
        <v>#VALUE!</v>
      </c>
      <c r="HS2" s="5" t="e">
        <f>AND('Full Results'!B16,"AAAAADfb4uI=")</f>
        <v>#VALUE!</v>
      </c>
      <c r="HT2" s="5" t="e">
        <f>AND('Full Results'!C16,"AAAAADfb4uM=")</f>
        <v>#VALUE!</v>
      </c>
      <c r="HU2" s="5" t="e">
        <f>AND('Full Results'!D16,"AAAAADfb4uQ=")</f>
        <v>#VALUE!</v>
      </c>
      <c r="HV2" s="5" t="e">
        <f>AND('Full Results'!E16,"AAAAADfb4uU=")</f>
        <v>#VALUE!</v>
      </c>
      <c r="HW2" s="5" t="s">
        <v>139</v>
      </c>
      <c r="HX2" s="5" t="e">
        <f>AND('Full Results'!F16,"AAAAADfb4uc=")</f>
        <v>#VALUE!</v>
      </c>
      <c r="HY2" s="5" t="e">
        <f>AND('Full Results'!G16,"AAAAADfb4ug=")</f>
        <v>#VALUE!</v>
      </c>
      <c r="HZ2" s="5" t="e">
        <f>AND('Full Results'!H16,"AAAAADfb4uk=")</f>
        <v>#VALUE!</v>
      </c>
      <c r="IA2" s="5" t="e">
        <f>AND('Full Results'!I16,"AAAAADfb4uo=")</f>
        <v>#VALUE!</v>
      </c>
      <c r="IB2" s="5" t="e">
        <f>AND('Full Results'!J16,"AAAAADfb4us=")</f>
        <v>#VALUE!</v>
      </c>
      <c r="IC2" s="5" t="e">
        <f>AND('Full Results'!K16,"AAAAADfb4uw=")</f>
        <v>#VALUE!</v>
      </c>
      <c r="ID2" s="5" t="e">
        <f>AND('Full Results'!L16,"AAAAADfb4u0=")</f>
        <v>#VALUE!</v>
      </c>
      <c r="IE2" s="5" t="e">
        <f>AND('Full Results'!M16,"AAAAADfb4u4=")</f>
        <v>#VALUE!</v>
      </c>
      <c r="IF2" s="5" t="e">
        <f>AND('Full Results'!N16,"AAAAADfb4u8=")</f>
        <v>#VALUE!</v>
      </c>
      <c r="IG2" s="5" t="e">
        <f>AND('Full Results'!O16,"AAAAADfb4vA=")</f>
        <v>#VALUE!</v>
      </c>
      <c r="IH2" s="5" t="e">
        <f>AND('Full Results'!P16,"AAAAADfb4vE=")</f>
        <v>#VALUE!</v>
      </c>
      <c r="II2" s="5" t="e">
        <f>AND('Full Results'!Q16,"AAAAADfb4vI=")</f>
        <v>#VALUE!</v>
      </c>
      <c r="IJ2" s="5" t="e">
        <f>AND('Full Results'!R16,"AAAAADfb4vM=")</f>
        <v>#VALUE!</v>
      </c>
      <c r="IK2" s="5" t="e">
        <f>AND('Full Results'!S16,"AAAAADfb4vQ=")</f>
        <v>#VALUE!</v>
      </c>
      <c r="IL2" s="5" t="e">
        <f>AND('Full Results'!T16,"AAAAADfb4vU=")</f>
        <v>#VALUE!</v>
      </c>
      <c r="IM2" s="5" t="e">
        <f>AND('Full Results'!U16,"AAAAADfb4vY=")</f>
        <v>#VALUE!</v>
      </c>
      <c r="IN2" s="5" t="e">
        <f>AND('Full Results'!V16,"AAAAADfb4vc=")</f>
        <v>#VALUE!</v>
      </c>
      <c r="IO2" s="5" t="e">
        <f>AND('Full Results'!W16,"AAAAADfb4vg=")</f>
        <v>#VALUE!</v>
      </c>
      <c r="IP2" s="5" t="s">
        <v>139</v>
      </c>
      <c r="IQ2" s="5" t="s">
        <v>139</v>
      </c>
      <c r="IR2" s="5" t="s">
        <v>139</v>
      </c>
      <c r="IS2" s="5" t="s">
        <v>139</v>
      </c>
      <c r="IT2" s="5" t="s">
        <v>139</v>
      </c>
      <c r="IU2" s="5" t="s">
        <v>139</v>
      </c>
      <c r="IV2" s="5" t="s">
        <v>139</v>
      </c>
    </row>
    <row r="3" spans="1:256" ht="15" customHeight="1" x14ac:dyDescent="0.2">
      <c r="A3" s="5" t="s">
        <v>140</v>
      </c>
      <c r="B3" s="5" t="e">
        <f>AND('Full Results'!A17,"AAAAAFl/fAE=")</f>
        <v>#VALUE!</v>
      </c>
      <c r="C3" s="5" t="e">
        <f>AND('Full Results'!B17,"AAAAAFl/fAI=")</f>
        <v>#VALUE!</v>
      </c>
      <c r="D3" s="5" t="e">
        <f>AND('Full Results'!C17,"AAAAAFl/fAM=")</f>
        <v>#VALUE!</v>
      </c>
      <c r="E3" s="5" t="e">
        <f>AND('Full Results'!D17,"AAAAAFl/fAQ=")</f>
        <v>#VALUE!</v>
      </c>
      <c r="F3" s="5" t="e">
        <f>AND('Full Results'!E17,"AAAAAFl/fAU=")</f>
        <v>#VALUE!</v>
      </c>
      <c r="G3" s="5" t="s">
        <v>139</v>
      </c>
      <c r="H3" s="5" t="e">
        <f>AND('Full Results'!F17,"AAAAAFl/fAc=")</f>
        <v>#VALUE!</v>
      </c>
      <c r="I3" s="5" t="e">
        <f>AND('Full Results'!G17,"AAAAAFl/fAg=")</f>
        <v>#VALUE!</v>
      </c>
      <c r="J3" s="5" t="e">
        <f>AND('Full Results'!H17,"AAAAAFl/fAk=")</f>
        <v>#VALUE!</v>
      </c>
      <c r="K3" s="5" t="e">
        <f>AND('Full Results'!I17,"AAAAAFl/fAo=")</f>
        <v>#VALUE!</v>
      </c>
      <c r="L3" s="5" t="e">
        <f>AND('Full Results'!J17,"AAAAAFl/fAs=")</f>
        <v>#VALUE!</v>
      </c>
      <c r="M3" s="5" t="e">
        <f>AND('Full Results'!K17,"AAAAAFl/fAw=")</f>
        <v>#VALUE!</v>
      </c>
      <c r="N3" s="5" t="e">
        <f>AND('Full Results'!L17,"AAAAAFl/fA0=")</f>
        <v>#VALUE!</v>
      </c>
      <c r="O3" s="5" t="e">
        <f>AND('Full Results'!M17,"AAAAAFl/fA4=")</f>
        <v>#VALUE!</v>
      </c>
      <c r="P3" s="5" t="e">
        <f>AND('Full Results'!N17,"AAAAAFl/fA8=")</f>
        <v>#VALUE!</v>
      </c>
      <c r="Q3" s="5" t="e">
        <f>AND('Full Results'!O17,"AAAAAFl/fBA=")</f>
        <v>#VALUE!</v>
      </c>
      <c r="R3" s="5" t="e">
        <f>AND('Full Results'!P17,"AAAAAFl/fBE=")</f>
        <v>#VALUE!</v>
      </c>
      <c r="S3" s="5" t="e">
        <f>AND('Full Results'!Q17,"AAAAAFl/fBI=")</f>
        <v>#VALUE!</v>
      </c>
      <c r="T3" s="5" t="e">
        <f>AND('Full Results'!R17,"AAAAAFl/fBM=")</f>
        <v>#VALUE!</v>
      </c>
      <c r="U3" s="5" t="e">
        <f>AND('Full Results'!S17,"AAAAAFl/fBQ=")</f>
        <v>#VALUE!</v>
      </c>
      <c r="V3" s="5" t="e">
        <f>AND('Full Results'!T17,"AAAAAFl/fBU=")</f>
        <v>#VALUE!</v>
      </c>
      <c r="W3" s="5" t="e">
        <f>AND('Full Results'!U17,"AAAAAFl/fBY=")</f>
        <v>#VALUE!</v>
      </c>
      <c r="X3" s="5" t="e">
        <f>AND('Full Results'!V17,"AAAAAFl/fBc=")</f>
        <v>#VALUE!</v>
      </c>
      <c r="Y3" s="5" t="e">
        <f>AND('Full Results'!W17,"AAAAAFl/fBg=")</f>
        <v>#VALUE!</v>
      </c>
      <c r="Z3" s="5" t="s">
        <v>139</v>
      </c>
      <c r="AA3" s="5" t="s">
        <v>139</v>
      </c>
      <c r="AB3" s="5" t="s">
        <v>139</v>
      </c>
      <c r="AC3" s="5" t="s">
        <v>139</v>
      </c>
      <c r="AD3" s="5" t="s">
        <v>139</v>
      </c>
      <c r="AE3" s="5" t="s">
        <v>139</v>
      </c>
      <c r="AF3" s="5" t="s">
        <v>139</v>
      </c>
      <c r="AG3" s="5">
        <v>0</v>
      </c>
      <c r="AH3" s="5" t="e">
        <f>AND('Full Results'!A18,"AAAAAFl/fCE=")</f>
        <v>#VALUE!</v>
      </c>
      <c r="AI3" s="5" t="e">
        <f>AND('Full Results'!B18,"AAAAAFl/fCI=")</f>
        <v>#VALUE!</v>
      </c>
      <c r="AJ3" s="5" t="e">
        <f>AND('Full Results'!C18,"AAAAAFl/fCM=")</f>
        <v>#VALUE!</v>
      </c>
      <c r="AK3" s="5" t="e">
        <f>AND('Full Results'!D18,"AAAAAFl/fCQ=")</f>
        <v>#VALUE!</v>
      </c>
      <c r="AL3" s="5" t="e">
        <f>AND('Full Results'!E18,"AAAAAFl/fCU=")</f>
        <v>#VALUE!</v>
      </c>
      <c r="AM3" s="5" t="s">
        <v>139</v>
      </c>
      <c r="AN3" s="5" t="e">
        <f>AND('Full Results'!F18,"AAAAAFl/fCc=")</f>
        <v>#VALUE!</v>
      </c>
      <c r="AO3" s="5" t="e">
        <f>AND('Full Results'!G18,"AAAAAFl/fCg=")</f>
        <v>#VALUE!</v>
      </c>
      <c r="AP3" s="5" t="e">
        <f>AND('Full Results'!H18,"AAAAAFl/fCk=")</f>
        <v>#VALUE!</v>
      </c>
      <c r="AQ3" s="5" t="e">
        <f>AND('Full Results'!I18,"AAAAAFl/fCo=")</f>
        <v>#VALUE!</v>
      </c>
      <c r="AR3" s="5" t="e">
        <f>AND('Full Results'!J18,"AAAAAFl/fCs=")</f>
        <v>#VALUE!</v>
      </c>
      <c r="AS3" s="5" t="e">
        <f>AND('Full Results'!K18,"AAAAAFl/fCw=")</f>
        <v>#VALUE!</v>
      </c>
      <c r="AT3" s="5" t="e">
        <f>AND('Full Results'!L18,"AAAAAFl/fC0=")</f>
        <v>#VALUE!</v>
      </c>
      <c r="AU3" s="5" t="e">
        <f>AND('Full Results'!M18,"AAAAAFl/fC4=")</f>
        <v>#VALUE!</v>
      </c>
      <c r="AV3" s="5" t="e">
        <f>AND('Full Results'!N18,"AAAAAFl/fC8=")</f>
        <v>#VALUE!</v>
      </c>
      <c r="AW3" s="5" t="e">
        <f>AND('Full Results'!O18,"AAAAAFl/fDA=")</f>
        <v>#VALUE!</v>
      </c>
      <c r="AX3" s="5" t="e">
        <f>AND('Full Results'!P18,"AAAAAFl/fDE=")</f>
        <v>#VALUE!</v>
      </c>
      <c r="AY3" s="5" t="e">
        <f>AND('Full Results'!Q18,"AAAAAFl/fDI=")</f>
        <v>#VALUE!</v>
      </c>
      <c r="AZ3" s="5" t="e">
        <f>AND('Full Results'!R18,"AAAAAFl/fDM=")</f>
        <v>#VALUE!</v>
      </c>
      <c r="BA3" s="5" t="e">
        <f>AND('Full Results'!S18,"AAAAAFl/fDQ=")</f>
        <v>#VALUE!</v>
      </c>
      <c r="BB3" s="5" t="e">
        <f>AND('Full Results'!T18,"AAAAAFl/fDU=")</f>
        <v>#VALUE!</v>
      </c>
      <c r="BC3" s="5" t="e">
        <f>AND('Full Results'!U18,"AAAAAFl/fDY=")</f>
        <v>#VALUE!</v>
      </c>
      <c r="BD3" s="5" t="e">
        <f>AND('Full Results'!V18,"AAAAAFl/fDc=")</f>
        <v>#VALUE!</v>
      </c>
      <c r="BE3" s="5" t="e">
        <f>AND('Full Results'!W18,"AAAAAFl/fDg=")</f>
        <v>#VALUE!</v>
      </c>
      <c r="BF3" s="5" t="s">
        <v>139</v>
      </c>
      <c r="BG3" s="5" t="s">
        <v>139</v>
      </c>
      <c r="BH3" s="5" t="s">
        <v>139</v>
      </c>
      <c r="BI3" s="5" t="s">
        <v>139</v>
      </c>
      <c r="BJ3" s="5" t="s">
        <v>139</v>
      </c>
      <c r="BK3" s="5" t="s">
        <v>139</v>
      </c>
      <c r="BL3" s="5" t="s">
        <v>139</v>
      </c>
      <c r="BM3" s="5">
        <v>0</v>
      </c>
      <c r="BN3" s="5" t="e">
        <f>AND('Full Results'!A19,"AAAAAFl/fEE=")</f>
        <v>#VALUE!</v>
      </c>
      <c r="BO3" s="5" t="e">
        <f>AND('Full Results'!B19,"AAAAAFl/fEI=")</f>
        <v>#VALUE!</v>
      </c>
      <c r="BP3" s="5" t="e">
        <f>AND('Full Results'!C19,"AAAAAFl/fEM=")</f>
        <v>#VALUE!</v>
      </c>
      <c r="BQ3" s="5" t="e">
        <f>AND('Full Results'!D19,"AAAAAFl/fEQ=")</f>
        <v>#VALUE!</v>
      </c>
      <c r="BR3" s="5" t="e">
        <f>AND('Full Results'!E19,"AAAAAFl/fEU=")</f>
        <v>#VALUE!</v>
      </c>
      <c r="BS3" s="5" t="s">
        <v>139</v>
      </c>
      <c r="BT3" s="5" t="e">
        <f>AND('Full Results'!F19,"AAAAAFl/fEc=")</f>
        <v>#VALUE!</v>
      </c>
      <c r="BU3" s="5" t="e">
        <f>AND('Full Results'!G19,"AAAAAFl/fEg=")</f>
        <v>#VALUE!</v>
      </c>
      <c r="BV3" s="5" t="e">
        <f>AND('Full Results'!H19,"AAAAAFl/fEk=")</f>
        <v>#VALUE!</v>
      </c>
      <c r="BW3" s="5" t="e">
        <f>AND('Full Results'!I19,"AAAAAFl/fEo=")</f>
        <v>#VALUE!</v>
      </c>
      <c r="BX3" s="5" t="e">
        <f>AND('Full Results'!J19,"AAAAAFl/fEs=")</f>
        <v>#VALUE!</v>
      </c>
      <c r="BY3" s="5" t="e">
        <f>AND('Full Results'!K19,"AAAAAFl/fEw=")</f>
        <v>#VALUE!</v>
      </c>
      <c r="BZ3" s="5" t="e">
        <f>AND('Full Results'!L19,"AAAAAFl/fE0=")</f>
        <v>#VALUE!</v>
      </c>
      <c r="CA3" s="5" t="e">
        <f>AND('Full Results'!M19,"AAAAAFl/fE4=")</f>
        <v>#VALUE!</v>
      </c>
      <c r="CB3" s="5" t="e">
        <f>AND('Full Results'!N19,"AAAAAFl/fE8=")</f>
        <v>#VALUE!</v>
      </c>
      <c r="CC3" s="5" t="e">
        <f>AND('Full Results'!O19,"AAAAAFl/fFA=")</f>
        <v>#VALUE!</v>
      </c>
      <c r="CD3" s="5" t="e">
        <f>AND('Full Results'!P19,"AAAAAFl/fFE=")</f>
        <v>#VALUE!</v>
      </c>
      <c r="CE3" s="5" t="e">
        <f>AND('Full Results'!Q19,"AAAAAFl/fFI=")</f>
        <v>#VALUE!</v>
      </c>
      <c r="CF3" s="5" t="e">
        <f>AND('Full Results'!R19,"AAAAAFl/fFM=")</f>
        <v>#VALUE!</v>
      </c>
      <c r="CG3" s="5" t="e">
        <f>AND('Full Results'!S19,"AAAAAFl/fFQ=")</f>
        <v>#VALUE!</v>
      </c>
      <c r="CH3" s="5" t="e">
        <f>AND('Full Results'!T19,"AAAAAFl/fFU=")</f>
        <v>#VALUE!</v>
      </c>
      <c r="CI3" s="5" t="e">
        <f>AND('Full Results'!U19,"AAAAAFl/fFY=")</f>
        <v>#VALUE!</v>
      </c>
      <c r="CJ3" s="5" t="e">
        <f>AND('Full Results'!V19,"AAAAAFl/fFc=")</f>
        <v>#VALUE!</v>
      </c>
      <c r="CK3" s="5" t="e">
        <f>AND('Full Results'!W19,"AAAAAFl/fFg=")</f>
        <v>#VALUE!</v>
      </c>
      <c r="CL3" s="5" t="s">
        <v>139</v>
      </c>
      <c r="CM3" s="5" t="s">
        <v>139</v>
      </c>
      <c r="CN3" s="5" t="s">
        <v>139</v>
      </c>
      <c r="CO3" s="5" t="s">
        <v>139</v>
      </c>
      <c r="CP3" s="5" t="s">
        <v>139</v>
      </c>
      <c r="CQ3" s="5" t="s">
        <v>139</v>
      </c>
      <c r="CR3" s="5" t="s">
        <v>139</v>
      </c>
      <c r="CS3" s="5">
        <v>0</v>
      </c>
      <c r="CT3" s="5" t="e">
        <f>AND('Full Results'!A20,"AAAAAFl/fGE=")</f>
        <v>#VALUE!</v>
      </c>
      <c r="CU3" s="5" t="e">
        <f>AND('Full Results'!B20,"AAAAAFl/fGI=")</f>
        <v>#VALUE!</v>
      </c>
      <c r="CV3" s="5" t="e">
        <f>AND('Full Results'!C20,"AAAAAFl/fGM=")</f>
        <v>#VALUE!</v>
      </c>
      <c r="CW3" s="5" t="e">
        <f>AND('Full Results'!D20,"AAAAAFl/fGQ=")</f>
        <v>#VALUE!</v>
      </c>
      <c r="CX3" s="5" t="e">
        <f>AND('Full Results'!E20,"AAAAAFl/fGU=")</f>
        <v>#VALUE!</v>
      </c>
      <c r="CY3" s="5" t="s">
        <v>139</v>
      </c>
      <c r="CZ3" s="5" t="e">
        <f>AND('Full Results'!F20,"AAAAAFl/fGc=")</f>
        <v>#VALUE!</v>
      </c>
      <c r="DA3" s="5" t="e">
        <f>AND('Full Results'!G20,"AAAAAFl/fGg=")</f>
        <v>#VALUE!</v>
      </c>
      <c r="DB3" s="5" t="e">
        <f>AND('Full Results'!H20,"AAAAAFl/fGk=")</f>
        <v>#VALUE!</v>
      </c>
      <c r="DC3" s="5" t="e">
        <f>AND('Full Results'!I20,"AAAAAFl/fGo=")</f>
        <v>#VALUE!</v>
      </c>
      <c r="DD3" s="5" t="e">
        <f>AND('Full Results'!J20,"AAAAAFl/fGs=")</f>
        <v>#VALUE!</v>
      </c>
      <c r="DE3" s="5" t="e">
        <f>AND('Full Results'!K20,"AAAAAFl/fGw=")</f>
        <v>#VALUE!</v>
      </c>
      <c r="DF3" s="5" t="e">
        <f>AND('Full Results'!L20,"AAAAAFl/fG0=")</f>
        <v>#VALUE!</v>
      </c>
      <c r="DG3" s="5" t="e">
        <f>AND('Full Results'!M20,"AAAAAFl/fG4=")</f>
        <v>#VALUE!</v>
      </c>
      <c r="DH3" s="5" t="e">
        <f>AND('Full Results'!N20,"AAAAAFl/fG8=")</f>
        <v>#VALUE!</v>
      </c>
      <c r="DI3" s="5" t="e">
        <f>AND('Full Results'!O20,"AAAAAFl/fHA=")</f>
        <v>#VALUE!</v>
      </c>
      <c r="DJ3" s="5" t="e">
        <f>AND('Full Results'!P20,"AAAAAFl/fHE=")</f>
        <v>#VALUE!</v>
      </c>
      <c r="DK3" s="5" t="e">
        <f>AND('Full Results'!Q20,"AAAAAFl/fHI=")</f>
        <v>#VALUE!</v>
      </c>
      <c r="DL3" s="5" t="e">
        <f>AND('Full Results'!R20,"AAAAAFl/fHM=")</f>
        <v>#VALUE!</v>
      </c>
      <c r="DM3" s="5" t="e">
        <f>AND('Full Results'!S20,"AAAAAFl/fHQ=")</f>
        <v>#VALUE!</v>
      </c>
      <c r="DN3" s="5" t="e">
        <f>AND('Full Results'!T20,"AAAAAFl/fHU=")</f>
        <v>#VALUE!</v>
      </c>
      <c r="DO3" s="5" t="e">
        <f>AND('Full Results'!U20,"AAAAAFl/fHY=")</f>
        <v>#VALUE!</v>
      </c>
      <c r="DP3" s="5" t="e">
        <f>AND('Full Results'!V20,"AAAAAFl/fHc=")</f>
        <v>#VALUE!</v>
      </c>
      <c r="DQ3" s="5" t="e">
        <f>AND('Full Results'!W20,"AAAAAFl/fHg=")</f>
        <v>#VALUE!</v>
      </c>
      <c r="DR3" s="5" t="s">
        <v>139</v>
      </c>
      <c r="DS3" s="5" t="s">
        <v>139</v>
      </c>
      <c r="DT3" s="5" t="s">
        <v>139</v>
      </c>
      <c r="DU3" s="5" t="s">
        <v>139</v>
      </c>
      <c r="DV3" s="5" t="s">
        <v>139</v>
      </c>
      <c r="DW3" s="5" t="s">
        <v>139</v>
      </c>
      <c r="DX3" s="5" t="s">
        <v>139</v>
      </c>
      <c r="DY3" s="5">
        <v>0</v>
      </c>
      <c r="DZ3" s="5" t="e">
        <f>AND('Full Results'!A21,"AAAAAFl/fIE=")</f>
        <v>#VALUE!</v>
      </c>
      <c r="EA3" s="5" t="e">
        <f>AND('Full Results'!B21,"AAAAAFl/fII=")</f>
        <v>#VALUE!</v>
      </c>
      <c r="EB3" s="5" t="e">
        <f>AND('Full Results'!C21,"AAAAAFl/fIM=")</f>
        <v>#VALUE!</v>
      </c>
      <c r="EC3" s="5" t="e">
        <f>AND('Full Results'!D21,"AAAAAFl/fIQ=")</f>
        <v>#VALUE!</v>
      </c>
      <c r="ED3" s="5" t="e">
        <f>AND('Full Results'!E21,"AAAAAFl/fIU=")</f>
        <v>#VALUE!</v>
      </c>
      <c r="EE3" s="5" t="s">
        <v>139</v>
      </c>
      <c r="EF3" s="5" t="e">
        <f>AND('Full Results'!F21,"AAAAAFl/fIc=")</f>
        <v>#VALUE!</v>
      </c>
      <c r="EG3" s="5" t="e">
        <f>AND('Full Results'!G21,"AAAAAFl/fIg=")</f>
        <v>#VALUE!</v>
      </c>
      <c r="EH3" s="5" t="e">
        <f>AND('Full Results'!H21,"AAAAAFl/fIk=")</f>
        <v>#VALUE!</v>
      </c>
      <c r="EI3" s="5" t="e">
        <f>AND('Full Results'!I21,"AAAAAFl/fIo=")</f>
        <v>#VALUE!</v>
      </c>
      <c r="EJ3" s="5" t="e">
        <f>AND('Full Results'!J21,"AAAAAFl/fIs=")</f>
        <v>#VALUE!</v>
      </c>
      <c r="EK3" s="5" t="e">
        <f>AND('Full Results'!K21,"AAAAAFl/fIw=")</f>
        <v>#VALUE!</v>
      </c>
      <c r="EL3" s="5" t="e">
        <f>AND('Full Results'!L21,"AAAAAFl/fI0=")</f>
        <v>#VALUE!</v>
      </c>
      <c r="EM3" s="5" t="e">
        <f>AND('Full Results'!M21,"AAAAAFl/fI4=")</f>
        <v>#VALUE!</v>
      </c>
      <c r="EN3" s="5" t="e">
        <f>AND('Full Results'!N21,"AAAAAFl/fI8=")</f>
        <v>#VALUE!</v>
      </c>
      <c r="EO3" s="5" t="e">
        <f>AND('Full Results'!O21,"AAAAAFl/fJA=")</f>
        <v>#VALUE!</v>
      </c>
      <c r="EP3" s="5" t="e">
        <f>AND('Full Results'!P21,"AAAAAFl/fJE=")</f>
        <v>#VALUE!</v>
      </c>
      <c r="EQ3" s="5" t="e">
        <f>AND('Full Results'!Q21,"AAAAAFl/fJI=")</f>
        <v>#VALUE!</v>
      </c>
      <c r="ER3" s="5" t="e">
        <f>AND('Full Results'!R21,"AAAAAFl/fJM=")</f>
        <v>#VALUE!</v>
      </c>
      <c r="ES3" s="5" t="e">
        <f>AND('Full Results'!S21,"AAAAAFl/fJQ=")</f>
        <v>#VALUE!</v>
      </c>
      <c r="ET3" s="5" t="e">
        <f>AND('Full Results'!T21,"AAAAAFl/fJU=")</f>
        <v>#VALUE!</v>
      </c>
      <c r="EU3" s="5" t="e">
        <f>AND('Full Results'!U21,"AAAAAFl/fJY=")</f>
        <v>#VALUE!</v>
      </c>
      <c r="EV3" s="5" t="e">
        <f>AND('Full Results'!V21,"AAAAAFl/fJc=")</f>
        <v>#VALUE!</v>
      </c>
      <c r="EW3" s="5" t="e">
        <f>AND('Full Results'!W21,"AAAAAFl/fJg=")</f>
        <v>#VALUE!</v>
      </c>
      <c r="EX3" s="5" t="s">
        <v>139</v>
      </c>
      <c r="EY3" s="5" t="s">
        <v>139</v>
      </c>
      <c r="EZ3" s="5" t="s">
        <v>139</v>
      </c>
      <c r="FA3" s="5" t="s">
        <v>139</v>
      </c>
      <c r="FB3" s="5" t="s">
        <v>139</v>
      </c>
      <c r="FC3" s="5" t="s">
        <v>139</v>
      </c>
      <c r="FD3" s="5" t="s">
        <v>139</v>
      </c>
      <c r="FE3" s="5">
        <v>0</v>
      </c>
      <c r="FF3" s="5" t="e">
        <f>AND('Full Results'!A22,"AAAAAFl/fKE=")</f>
        <v>#VALUE!</v>
      </c>
      <c r="FG3" s="5" t="e">
        <f>AND('Full Results'!B22,"AAAAAFl/fKI=")</f>
        <v>#VALUE!</v>
      </c>
      <c r="FH3" s="5" t="e">
        <f>AND('Full Results'!C22,"AAAAAFl/fKM=")</f>
        <v>#VALUE!</v>
      </c>
      <c r="FI3" s="5" t="e">
        <f>AND('Full Results'!D22,"AAAAAFl/fKQ=")</f>
        <v>#VALUE!</v>
      </c>
      <c r="FJ3" s="5" t="e">
        <f>AND('Full Results'!E22,"AAAAAFl/fKU=")</f>
        <v>#VALUE!</v>
      </c>
      <c r="FK3" s="5" t="s">
        <v>139</v>
      </c>
      <c r="FL3" s="5" t="e">
        <f>AND('Full Results'!F22,"AAAAAFl/fKc=")</f>
        <v>#VALUE!</v>
      </c>
      <c r="FM3" s="5" t="e">
        <f>AND('Full Results'!G22,"AAAAAFl/fKg=")</f>
        <v>#VALUE!</v>
      </c>
      <c r="FN3" s="5" t="e">
        <f>AND('Full Results'!H22,"AAAAAFl/fKk=")</f>
        <v>#VALUE!</v>
      </c>
      <c r="FO3" s="5" t="e">
        <f>AND('Full Results'!I22,"AAAAAFl/fKo=")</f>
        <v>#VALUE!</v>
      </c>
      <c r="FP3" s="5" t="e">
        <f>AND('Full Results'!J22,"AAAAAFl/fKs=")</f>
        <v>#VALUE!</v>
      </c>
      <c r="FQ3" s="5" t="e">
        <f>AND('Full Results'!K22,"AAAAAFl/fKw=")</f>
        <v>#VALUE!</v>
      </c>
      <c r="FR3" s="5" t="e">
        <f>AND('Full Results'!L22,"AAAAAFl/fK0=")</f>
        <v>#VALUE!</v>
      </c>
      <c r="FS3" s="5" t="e">
        <f>AND('Full Results'!M22,"AAAAAFl/fK4=")</f>
        <v>#VALUE!</v>
      </c>
      <c r="FT3" s="5" t="e">
        <f>AND('Full Results'!N22,"AAAAAFl/fK8=")</f>
        <v>#VALUE!</v>
      </c>
      <c r="FU3" s="5" t="e">
        <f>AND('Full Results'!O22,"AAAAAFl/fLA=")</f>
        <v>#VALUE!</v>
      </c>
      <c r="FV3" s="5" t="e">
        <f>AND('Full Results'!P22,"AAAAAFl/fLE=")</f>
        <v>#VALUE!</v>
      </c>
      <c r="FW3" s="5" t="e">
        <f>AND('Full Results'!Q22,"AAAAAFl/fLI=")</f>
        <v>#VALUE!</v>
      </c>
      <c r="FX3" s="5" t="e">
        <f>AND('Full Results'!R22,"AAAAAFl/fLM=")</f>
        <v>#VALUE!</v>
      </c>
      <c r="FY3" s="5" t="e">
        <f>AND('Full Results'!S22,"AAAAAFl/fLQ=")</f>
        <v>#VALUE!</v>
      </c>
      <c r="FZ3" s="5" t="e">
        <f>AND('Full Results'!T22,"AAAAAFl/fLU=")</f>
        <v>#VALUE!</v>
      </c>
      <c r="GA3" s="5" t="e">
        <f>AND('Full Results'!U22,"AAAAAFl/fLY=")</f>
        <v>#VALUE!</v>
      </c>
      <c r="GB3" s="5" t="e">
        <f>AND('Full Results'!V22,"AAAAAFl/fLc=")</f>
        <v>#VALUE!</v>
      </c>
      <c r="GC3" s="5" t="e">
        <f>AND('Full Results'!W22,"AAAAAFl/fLg=")</f>
        <v>#VALUE!</v>
      </c>
      <c r="GD3" s="5" t="s">
        <v>139</v>
      </c>
      <c r="GE3" s="5" t="s">
        <v>139</v>
      </c>
      <c r="GF3" s="5" t="s">
        <v>139</v>
      </c>
      <c r="GG3" s="5" t="s">
        <v>139</v>
      </c>
      <c r="GH3" s="5" t="s">
        <v>139</v>
      </c>
      <c r="GI3" s="5" t="s">
        <v>139</v>
      </c>
      <c r="GJ3" s="5" t="s">
        <v>139</v>
      </c>
      <c r="GK3" s="5">
        <v>0</v>
      </c>
      <c r="GL3" s="5" t="e">
        <f>AND('Full Results'!A23,"AAAAAFl/fME=")</f>
        <v>#VALUE!</v>
      </c>
      <c r="GM3" s="5" t="e">
        <f>AND('Full Results'!B23,"AAAAAFl/fMI=")</f>
        <v>#VALUE!</v>
      </c>
      <c r="GN3" s="5" t="e">
        <f>AND('Full Results'!C23,"AAAAAFl/fMM=")</f>
        <v>#VALUE!</v>
      </c>
      <c r="GO3" s="5" t="e">
        <f>AND('Full Results'!D23,"AAAAAFl/fMQ=")</f>
        <v>#VALUE!</v>
      </c>
      <c r="GP3" s="5" t="e">
        <f>AND('Full Results'!E23,"AAAAAFl/fMU=")</f>
        <v>#VALUE!</v>
      </c>
      <c r="GQ3" s="5" t="s">
        <v>139</v>
      </c>
      <c r="GR3" s="5" t="e">
        <f>AND('Full Results'!F23,"AAAAAFl/fMc=")</f>
        <v>#VALUE!</v>
      </c>
      <c r="GS3" s="5" t="e">
        <f>AND('Full Results'!G23,"AAAAAFl/fMg=")</f>
        <v>#VALUE!</v>
      </c>
      <c r="GT3" s="5" t="e">
        <f>AND('Full Results'!H23,"AAAAAFl/fMk=")</f>
        <v>#VALUE!</v>
      </c>
      <c r="GU3" s="5" t="e">
        <f>AND('Full Results'!I23,"AAAAAFl/fMo=")</f>
        <v>#VALUE!</v>
      </c>
      <c r="GV3" s="5" t="e">
        <f>AND('Full Results'!J23,"AAAAAFl/fMs=")</f>
        <v>#VALUE!</v>
      </c>
      <c r="GW3" s="5" t="e">
        <f>AND('Full Results'!K23,"AAAAAFl/fMw=")</f>
        <v>#VALUE!</v>
      </c>
      <c r="GX3" s="5" t="e">
        <f>AND('Full Results'!L23,"AAAAAFl/fM0=")</f>
        <v>#VALUE!</v>
      </c>
      <c r="GY3" s="5" t="e">
        <f>AND('Full Results'!M23,"AAAAAFl/fM4=")</f>
        <v>#VALUE!</v>
      </c>
      <c r="GZ3" s="5" t="e">
        <f>AND('Full Results'!N23,"AAAAAFl/fM8=")</f>
        <v>#VALUE!</v>
      </c>
      <c r="HA3" s="5" t="e">
        <f>AND('Full Results'!O23,"AAAAAFl/fNA=")</f>
        <v>#VALUE!</v>
      </c>
      <c r="HB3" s="5" t="e">
        <f>AND('Full Results'!P23,"AAAAAFl/fNE=")</f>
        <v>#VALUE!</v>
      </c>
      <c r="HC3" s="5" t="e">
        <f>AND('Full Results'!Q23,"AAAAAFl/fNI=")</f>
        <v>#VALUE!</v>
      </c>
      <c r="HD3" s="5" t="e">
        <f>AND('Full Results'!R23,"AAAAAFl/fNM=")</f>
        <v>#VALUE!</v>
      </c>
      <c r="HE3" s="5" t="e">
        <f>AND('Full Results'!S23,"AAAAAFl/fNQ=")</f>
        <v>#VALUE!</v>
      </c>
      <c r="HF3" s="5" t="e">
        <f>AND('Full Results'!T23,"AAAAAFl/fNU=")</f>
        <v>#VALUE!</v>
      </c>
      <c r="HG3" s="5" t="e">
        <f>AND('Full Results'!U23,"AAAAAFl/fNY=")</f>
        <v>#VALUE!</v>
      </c>
      <c r="HH3" s="5" t="e">
        <f>AND('Full Results'!V23,"AAAAAFl/fNc=")</f>
        <v>#VALUE!</v>
      </c>
      <c r="HI3" s="5" t="e">
        <f>AND('Full Results'!W23,"AAAAAFl/fNg=")</f>
        <v>#VALUE!</v>
      </c>
      <c r="HJ3" s="5" t="s">
        <v>139</v>
      </c>
      <c r="HK3" s="5" t="s">
        <v>139</v>
      </c>
      <c r="HL3" s="5" t="s">
        <v>139</v>
      </c>
      <c r="HM3" s="5" t="s">
        <v>139</v>
      </c>
      <c r="HN3" s="5" t="s">
        <v>139</v>
      </c>
      <c r="HO3" s="5" t="s">
        <v>139</v>
      </c>
      <c r="HP3" s="5" t="s">
        <v>139</v>
      </c>
      <c r="HQ3" s="5">
        <v>0</v>
      </c>
      <c r="HR3" s="5" t="e">
        <f>AND('Full Results'!A24,"AAAAAFl/fOE=")</f>
        <v>#VALUE!</v>
      </c>
      <c r="HS3" s="5" t="e">
        <f>AND('Full Results'!B24,"AAAAAFl/fOI=")</f>
        <v>#VALUE!</v>
      </c>
      <c r="HT3" s="5" t="e">
        <f>AND('Full Results'!C24,"AAAAAFl/fOM=")</f>
        <v>#VALUE!</v>
      </c>
      <c r="HU3" s="5" t="e">
        <f>AND('Full Results'!D24,"AAAAAFl/fOQ=")</f>
        <v>#VALUE!</v>
      </c>
      <c r="HV3" s="5" t="e">
        <f>AND('Full Results'!E24,"AAAAAFl/fOU=")</f>
        <v>#VALUE!</v>
      </c>
      <c r="HW3" s="5" t="s">
        <v>139</v>
      </c>
      <c r="HX3" s="5" t="e">
        <f>AND('Full Results'!F24,"AAAAAFl/fOc=")</f>
        <v>#VALUE!</v>
      </c>
      <c r="HY3" s="5" t="e">
        <f>AND('Full Results'!G24,"AAAAAFl/fOg=")</f>
        <v>#VALUE!</v>
      </c>
      <c r="HZ3" s="5" t="e">
        <f>AND('Full Results'!H24,"AAAAAFl/fOk=")</f>
        <v>#VALUE!</v>
      </c>
      <c r="IA3" s="5" t="e">
        <f>AND('Full Results'!I24,"AAAAAFl/fOo=")</f>
        <v>#VALUE!</v>
      </c>
      <c r="IB3" s="5" t="e">
        <f>AND('Full Results'!J24,"AAAAAFl/fOs=")</f>
        <v>#VALUE!</v>
      </c>
      <c r="IC3" s="5" t="e">
        <f>AND('Full Results'!K24,"AAAAAFl/fOw=")</f>
        <v>#VALUE!</v>
      </c>
      <c r="ID3" s="5" t="e">
        <f>AND('Full Results'!L24,"AAAAAFl/fO0=")</f>
        <v>#VALUE!</v>
      </c>
      <c r="IE3" s="5" t="e">
        <f>AND('Full Results'!M24,"AAAAAFl/fO4=")</f>
        <v>#VALUE!</v>
      </c>
      <c r="IF3" s="5" t="e">
        <f>AND('Full Results'!N24,"AAAAAFl/fO8=")</f>
        <v>#VALUE!</v>
      </c>
      <c r="IG3" s="5" t="e">
        <f>AND('Full Results'!O24,"AAAAAFl/fPA=")</f>
        <v>#VALUE!</v>
      </c>
      <c r="IH3" s="5" t="e">
        <f>AND('Full Results'!P24,"AAAAAFl/fPE=")</f>
        <v>#VALUE!</v>
      </c>
      <c r="II3" s="5" t="e">
        <f>AND('Full Results'!Q24,"AAAAAFl/fPI=")</f>
        <v>#VALUE!</v>
      </c>
      <c r="IJ3" s="5" t="e">
        <f>AND('Full Results'!R24,"AAAAAFl/fPM=")</f>
        <v>#VALUE!</v>
      </c>
      <c r="IK3" s="5" t="e">
        <f>AND('Full Results'!S24,"AAAAAFl/fPQ=")</f>
        <v>#VALUE!</v>
      </c>
      <c r="IL3" s="5" t="e">
        <f>AND('Full Results'!T24,"AAAAAFl/fPU=")</f>
        <v>#VALUE!</v>
      </c>
      <c r="IM3" s="5" t="e">
        <f>AND('Full Results'!U24,"AAAAAFl/fPY=")</f>
        <v>#VALUE!</v>
      </c>
      <c r="IN3" s="5" t="e">
        <f>AND('Full Results'!V24,"AAAAAFl/fPc=")</f>
        <v>#VALUE!</v>
      </c>
      <c r="IO3" s="5" t="e">
        <f>AND('Full Results'!W24,"AAAAAFl/fPg=")</f>
        <v>#VALUE!</v>
      </c>
      <c r="IP3" s="5" t="s">
        <v>139</v>
      </c>
      <c r="IQ3" s="5" t="s">
        <v>139</v>
      </c>
      <c r="IR3" s="5" t="s">
        <v>139</v>
      </c>
      <c r="IS3" s="5" t="s">
        <v>139</v>
      </c>
      <c r="IT3" s="5" t="s">
        <v>139</v>
      </c>
      <c r="IU3" s="5" t="s">
        <v>139</v>
      </c>
      <c r="IV3" s="5" t="s">
        <v>139</v>
      </c>
    </row>
    <row r="4" spans="1:256" ht="15" customHeight="1" x14ac:dyDescent="0.2">
      <c r="A4" s="5" t="s">
        <v>140</v>
      </c>
      <c r="B4" s="5" t="e">
        <f>AND('Full Results'!A25,"AAAAAG/NbwE=")</f>
        <v>#VALUE!</v>
      </c>
      <c r="C4" s="5" t="e">
        <f>AND('Full Results'!B25,"AAAAAG/NbwI=")</f>
        <v>#VALUE!</v>
      </c>
      <c r="D4" s="5" t="e">
        <f>AND('Full Results'!C25,"AAAAAG/NbwM=")</f>
        <v>#VALUE!</v>
      </c>
      <c r="E4" s="5" t="e">
        <f>AND('Full Results'!D25,"AAAAAG/NbwQ=")</f>
        <v>#VALUE!</v>
      </c>
      <c r="F4" s="5" t="e">
        <f>AND('Full Results'!E25,"AAAAAG/NbwU=")</f>
        <v>#VALUE!</v>
      </c>
      <c r="G4" s="5" t="s">
        <v>139</v>
      </c>
      <c r="H4" s="5" t="e">
        <f>AND('Full Results'!F25,"AAAAAG/Nbwc=")</f>
        <v>#VALUE!</v>
      </c>
      <c r="I4" s="5" t="e">
        <f>AND('Full Results'!G25,"AAAAAG/Nbwg=")</f>
        <v>#VALUE!</v>
      </c>
      <c r="J4" s="5" t="e">
        <f>AND('Full Results'!H25,"AAAAAG/Nbwk=")</f>
        <v>#VALUE!</v>
      </c>
      <c r="K4" s="5" t="e">
        <f>AND('Full Results'!I25,"AAAAAG/Nbwo=")</f>
        <v>#VALUE!</v>
      </c>
      <c r="L4" s="5" t="e">
        <f>AND('Full Results'!J25,"AAAAAG/Nbws=")</f>
        <v>#VALUE!</v>
      </c>
      <c r="M4" s="5" t="e">
        <f>AND('Full Results'!K25,"AAAAAG/Nbww=")</f>
        <v>#VALUE!</v>
      </c>
      <c r="N4" s="5" t="e">
        <f>AND('Full Results'!L25,"AAAAAG/Nbw0=")</f>
        <v>#VALUE!</v>
      </c>
      <c r="O4" s="5" t="e">
        <f>AND('Full Results'!M25,"AAAAAG/Nbw4=")</f>
        <v>#VALUE!</v>
      </c>
      <c r="P4" s="5" t="e">
        <f>AND('Full Results'!N25,"AAAAAG/Nbw8=")</f>
        <v>#VALUE!</v>
      </c>
      <c r="Q4" s="5" t="e">
        <f>AND('Full Results'!O25,"AAAAAG/NbxA=")</f>
        <v>#VALUE!</v>
      </c>
      <c r="R4" s="5" t="e">
        <f>AND('Full Results'!P25,"AAAAAG/NbxE=")</f>
        <v>#VALUE!</v>
      </c>
      <c r="S4" s="5" t="e">
        <f>AND('Full Results'!Q25,"AAAAAG/NbxI=")</f>
        <v>#VALUE!</v>
      </c>
      <c r="T4" s="5" t="e">
        <f>AND('Full Results'!R25,"AAAAAG/NbxM=")</f>
        <v>#VALUE!</v>
      </c>
      <c r="U4" s="5" t="e">
        <f>AND('Full Results'!S25,"AAAAAG/NbxQ=")</f>
        <v>#VALUE!</v>
      </c>
      <c r="V4" s="5" t="e">
        <f>AND('Full Results'!T25,"AAAAAG/NbxU=")</f>
        <v>#VALUE!</v>
      </c>
      <c r="W4" s="5" t="e">
        <f>AND('Full Results'!U25,"AAAAAG/NbxY=")</f>
        <v>#VALUE!</v>
      </c>
      <c r="X4" s="5" t="e">
        <f>AND('Full Results'!V25,"AAAAAG/Nbxc=")</f>
        <v>#VALUE!</v>
      </c>
      <c r="Y4" s="5" t="e">
        <f>AND('Full Results'!W25,"AAAAAG/Nbxg=")</f>
        <v>#VALUE!</v>
      </c>
      <c r="Z4" s="5" t="s">
        <v>139</v>
      </c>
      <c r="AA4" s="5" t="s">
        <v>139</v>
      </c>
      <c r="AB4" s="5" t="s">
        <v>139</v>
      </c>
      <c r="AC4" s="5" t="s">
        <v>139</v>
      </c>
      <c r="AD4" s="5" t="s">
        <v>139</v>
      </c>
      <c r="AE4" s="5" t="s">
        <v>139</v>
      </c>
      <c r="AF4" s="5" t="s">
        <v>139</v>
      </c>
      <c r="AG4" s="5">
        <v>0</v>
      </c>
      <c r="AH4" s="5" t="e">
        <f>AND('Full Results'!A26,"AAAAAG/NbyE=")</f>
        <v>#VALUE!</v>
      </c>
      <c r="AI4" s="5" t="e">
        <f>AND('Full Results'!B26,"AAAAAG/NbyI=")</f>
        <v>#VALUE!</v>
      </c>
      <c r="AJ4" s="5" t="e">
        <f>AND('Full Results'!C26,"AAAAAG/NbyM=")</f>
        <v>#VALUE!</v>
      </c>
      <c r="AK4" s="5" t="e">
        <f>AND('Full Results'!D26,"AAAAAG/NbyQ=")</f>
        <v>#VALUE!</v>
      </c>
      <c r="AL4" s="5" t="e">
        <f>AND('Full Results'!E26,"AAAAAG/NbyU=")</f>
        <v>#VALUE!</v>
      </c>
      <c r="AM4" s="5" t="s">
        <v>139</v>
      </c>
      <c r="AN4" s="5" t="e">
        <f>AND('Full Results'!F26,"AAAAAG/Nbyc=")</f>
        <v>#VALUE!</v>
      </c>
      <c r="AO4" s="5" t="e">
        <f>AND('Full Results'!G26,"AAAAAG/Nbyg=")</f>
        <v>#VALUE!</v>
      </c>
      <c r="AP4" s="5" t="e">
        <f>AND('Full Results'!H26,"AAAAAG/Nbyk=")</f>
        <v>#VALUE!</v>
      </c>
      <c r="AQ4" s="5" t="e">
        <f>AND('Full Results'!I26,"AAAAAG/Nbyo=")</f>
        <v>#VALUE!</v>
      </c>
      <c r="AR4" s="5" t="e">
        <f>AND('Full Results'!J26,"AAAAAG/Nbys=")</f>
        <v>#VALUE!</v>
      </c>
      <c r="AS4" s="5" t="e">
        <f>AND('Full Results'!K26,"AAAAAG/Nbyw=")</f>
        <v>#VALUE!</v>
      </c>
      <c r="AT4" s="5" t="e">
        <f>AND('Full Results'!L26,"AAAAAG/Nby0=")</f>
        <v>#VALUE!</v>
      </c>
      <c r="AU4" s="5" t="e">
        <f>AND('Full Results'!M26,"AAAAAG/Nby4=")</f>
        <v>#VALUE!</v>
      </c>
      <c r="AV4" s="5" t="e">
        <f>AND('Full Results'!N26,"AAAAAG/Nby8=")</f>
        <v>#VALUE!</v>
      </c>
      <c r="AW4" s="5" t="e">
        <f>AND('Full Results'!O26,"AAAAAG/NbzA=")</f>
        <v>#VALUE!</v>
      </c>
      <c r="AX4" s="5" t="e">
        <f>AND('Full Results'!P26,"AAAAAG/NbzE=")</f>
        <v>#VALUE!</v>
      </c>
      <c r="AY4" s="5" t="e">
        <f>AND('Full Results'!Q26,"AAAAAG/NbzI=")</f>
        <v>#VALUE!</v>
      </c>
      <c r="AZ4" s="5" t="e">
        <f>AND('Full Results'!R26,"AAAAAG/NbzM=")</f>
        <v>#VALUE!</v>
      </c>
      <c r="BA4" s="5" t="e">
        <f>AND('Full Results'!S26,"AAAAAG/NbzQ=")</f>
        <v>#VALUE!</v>
      </c>
      <c r="BB4" s="5" t="e">
        <f>AND('Full Results'!T26,"AAAAAG/NbzU=")</f>
        <v>#VALUE!</v>
      </c>
      <c r="BC4" s="5" t="e">
        <f>AND('Full Results'!U26,"AAAAAG/NbzY=")</f>
        <v>#VALUE!</v>
      </c>
      <c r="BD4" s="5" t="e">
        <f>AND('Full Results'!V26,"AAAAAG/Nbzc=")</f>
        <v>#VALUE!</v>
      </c>
      <c r="BE4" s="5" t="e">
        <f>AND('Full Results'!W26,"AAAAAG/Nbzg=")</f>
        <v>#VALUE!</v>
      </c>
      <c r="BF4" s="5" t="s">
        <v>139</v>
      </c>
      <c r="BG4" s="5" t="s">
        <v>139</v>
      </c>
      <c r="BH4" s="5" t="s">
        <v>139</v>
      </c>
      <c r="BI4" s="5" t="s">
        <v>139</v>
      </c>
      <c r="BJ4" s="5" t="s">
        <v>139</v>
      </c>
      <c r="BK4" s="5" t="s">
        <v>139</v>
      </c>
      <c r="BL4" s="5" t="s">
        <v>139</v>
      </c>
      <c r="BM4" s="5">
        <v>0</v>
      </c>
      <c r="BN4" s="5" t="e">
        <f>AND('Full Results'!A27,"AAAAAG/Nb0E=")</f>
        <v>#VALUE!</v>
      </c>
      <c r="BO4" s="5" t="e">
        <f>AND('Full Results'!B27,"AAAAAG/Nb0I=")</f>
        <v>#VALUE!</v>
      </c>
      <c r="BP4" s="5" t="e">
        <f>AND('Full Results'!C27,"AAAAAG/Nb0M=")</f>
        <v>#VALUE!</v>
      </c>
      <c r="BQ4" s="5" t="e">
        <f>AND('Full Results'!D27,"AAAAAG/Nb0Q=")</f>
        <v>#VALUE!</v>
      </c>
      <c r="BR4" s="5" t="e">
        <f>AND('Full Results'!E27,"AAAAAG/Nb0U=")</f>
        <v>#VALUE!</v>
      </c>
      <c r="BS4" s="5" t="s">
        <v>139</v>
      </c>
      <c r="BT4" s="5" t="e">
        <f>AND('Full Results'!F27,"AAAAAG/Nb0c=")</f>
        <v>#VALUE!</v>
      </c>
      <c r="BU4" s="5" t="e">
        <f>AND('Full Results'!G27,"AAAAAG/Nb0g=")</f>
        <v>#VALUE!</v>
      </c>
      <c r="BV4" s="5" t="e">
        <f>AND('Full Results'!H27,"AAAAAG/Nb0k=")</f>
        <v>#VALUE!</v>
      </c>
      <c r="BW4" s="5" t="e">
        <f>AND('Full Results'!I27,"AAAAAG/Nb0o=")</f>
        <v>#VALUE!</v>
      </c>
      <c r="BX4" s="5" t="e">
        <f>AND('Full Results'!J27,"AAAAAG/Nb0s=")</f>
        <v>#VALUE!</v>
      </c>
      <c r="BY4" s="5" t="e">
        <f>AND('Full Results'!K27,"AAAAAG/Nb0w=")</f>
        <v>#VALUE!</v>
      </c>
      <c r="BZ4" s="5" t="e">
        <f>AND('Full Results'!L27,"AAAAAG/Nb00=")</f>
        <v>#VALUE!</v>
      </c>
      <c r="CA4" s="5" t="e">
        <f>AND('Full Results'!M27,"AAAAAG/Nb04=")</f>
        <v>#VALUE!</v>
      </c>
      <c r="CB4" s="5" t="e">
        <f>AND('Full Results'!N27,"AAAAAG/Nb08=")</f>
        <v>#VALUE!</v>
      </c>
      <c r="CC4" s="5" t="e">
        <f>AND('Full Results'!O27,"AAAAAG/Nb1A=")</f>
        <v>#VALUE!</v>
      </c>
      <c r="CD4" s="5" t="e">
        <f>AND('Full Results'!P27,"AAAAAG/Nb1E=")</f>
        <v>#VALUE!</v>
      </c>
      <c r="CE4" s="5" t="e">
        <f>AND('Full Results'!Q27,"AAAAAG/Nb1I=")</f>
        <v>#VALUE!</v>
      </c>
      <c r="CF4" s="5" t="e">
        <f>AND('Full Results'!R27,"AAAAAG/Nb1M=")</f>
        <v>#VALUE!</v>
      </c>
      <c r="CG4" s="5" t="e">
        <f>AND('Full Results'!S27,"AAAAAG/Nb1Q=")</f>
        <v>#VALUE!</v>
      </c>
      <c r="CH4" s="5" t="e">
        <f>AND('Full Results'!T27,"AAAAAG/Nb1U=")</f>
        <v>#VALUE!</v>
      </c>
      <c r="CI4" s="5" t="e">
        <f>AND('Full Results'!U27,"AAAAAG/Nb1Y=")</f>
        <v>#VALUE!</v>
      </c>
      <c r="CJ4" s="5" t="e">
        <f>AND('Full Results'!V27,"AAAAAG/Nb1c=")</f>
        <v>#VALUE!</v>
      </c>
      <c r="CK4" s="5" t="e">
        <f>AND('Full Results'!W27,"AAAAAG/Nb1g=")</f>
        <v>#VALUE!</v>
      </c>
      <c r="CL4" s="5" t="s">
        <v>139</v>
      </c>
      <c r="CM4" s="5" t="s">
        <v>139</v>
      </c>
      <c r="CN4" s="5" t="s">
        <v>139</v>
      </c>
      <c r="CO4" s="5" t="s">
        <v>139</v>
      </c>
      <c r="CP4" s="5" t="s">
        <v>139</v>
      </c>
      <c r="CQ4" s="5" t="s">
        <v>139</v>
      </c>
      <c r="CR4" s="5" t="s">
        <v>139</v>
      </c>
      <c r="CS4" s="5">
        <v>0</v>
      </c>
      <c r="CT4" s="5" t="e">
        <f>AND('Full Results'!A28,"AAAAAG/Nb2E=")</f>
        <v>#VALUE!</v>
      </c>
      <c r="CU4" s="5" t="e">
        <f>AND('Full Results'!B28,"AAAAAG/Nb2I=")</f>
        <v>#VALUE!</v>
      </c>
      <c r="CV4" s="5" t="e">
        <f>AND('Full Results'!C28,"AAAAAG/Nb2M=")</f>
        <v>#VALUE!</v>
      </c>
      <c r="CW4" s="5" t="e">
        <f>AND('Full Results'!D28,"AAAAAG/Nb2Q=")</f>
        <v>#VALUE!</v>
      </c>
      <c r="CX4" s="5" t="e">
        <f>AND('Full Results'!E28,"AAAAAG/Nb2U=")</f>
        <v>#VALUE!</v>
      </c>
      <c r="CY4" s="5" t="s">
        <v>139</v>
      </c>
      <c r="CZ4" s="5" t="e">
        <f>AND('Full Results'!F28,"AAAAAG/Nb2c=")</f>
        <v>#VALUE!</v>
      </c>
      <c r="DA4" s="5" t="e">
        <f>AND('Full Results'!G28,"AAAAAG/Nb2g=")</f>
        <v>#VALUE!</v>
      </c>
      <c r="DB4" s="5" t="e">
        <f>AND('Full Results'!H28,"AAAAAG/Nb2k=")</f>
        <v>#VALUE!</v>
      </c>
      <c r="DC4" s="5" t="e">
        <f>AND('Full Results'!I28,"AAAAAG/Nb2o=")</f>
        <v>#VALUE!</v>
      </c>
      <c r="DD4" s="5" t="e">
        <f>AND('Full Results'!J28,"AAAAAG/Nb2s=")</f>
        <v>#VALUE!</v>
      </c>
      <c r="DE4" s="5" t="e">
        <f>AND('Full Results'!K28,"AAAAAG/Nb2w=")</f>
        <v>#VALUE!</v>
      </c>
      <c r="DF4" s="5" t="e">
        <f>AND('Full Results'!L28,"AAAAAG/Nb20=")</f>
        <v>#VALUE!</v>
      </c>
      <c r="DG4" s="5" t="e">
        <f>AND('Full Results'!M28,"AAAAAG/Nb24=")</f>
        <v>#VALUE!</v>
      </c>
      <c r="DH4" s="5" t="e">
        <f>AND('Full Results'!N28,"AAAAAG/Nb28=")</f>
        <v>#VALUE!</v>
      </c>
      <c r="DI4" s="5" t="e">
        <f>AND('Full Results'!O28,"AAAAAG/Nb3A=")</f>
        <v>#VALUE!</v>
      </c>
      <c r="DJ4" s="5" t="e">
        <f>AND('Full Results'!P28,"AAAAAG/Nb3E=")</f>
        <v>#VALUE!</v>
      </c>
      <c r="DK4" s="5" t="e">
        <f>AND('Full Results'!Q28,"AAAAAG/Nb3I=")</f>
        <v>#VALUE!</v>
      </c>
      <c r="DL4" s="5" t="e">
        <f>AND('Full Results'!R28,"AAAAAG/Nb3M=")</f>
        <v>#VALUE!</v>
      </c>
      <c r="DM4" s="5" t="e">
        <f>AND('Full Results'!S28,"AAAAAG/Nb3Q=")</f>
        <v>#VALUE!</v>
      </c>
      <c r="DN4" s="5" t="e">
        <f>AND('Full Results'!T28,"AAAAAG/Nb3U=")</f>
        <v>#VALUE!</v>
      </c>
      <c r="DO4" s="5" t="e">
        <f>AND('Full Results'!U28,"AAAAAG/Nb3Y=")</f>
        <v>#VALUE!</v>
      </c>
      <c r="DP4" s="5" t="e">
        <f>AND('Full Results'!V28,"AAAAAG/Nb3c=")</f>
        <v>#VALUE!</v>
      </c>
      <c r="DQ4" s="5" t="e">
        <f>AND('Full Results'!W28,"AAAAAG/Nb3g=")</f>
        <v>#VALUE!</v>
      </c>
      <c r="DR4" s="5" t="s">
        <v>139</v>
      </c>
      <c r="DS4" s="5" t="s">
        <v>139</v>
      </c>
      <c r="DT4" s="5" t="s">
        <v>139</v>
      </c>
      <c r="DU4" s="5" t="s">
        <v>139</v>
      </c>
      <c r="DV4" s="5" t="s">
        <v>139</v>
      </c>
      <c r="DW4" s="5" t="s">
        <v>139</v>
      </c>
      <c r="DX4" s="5" t="s">
        <v>139</v>
      </c>
      <c r="DY4" s="5">
        <v>0</v>
      </c>
      <c r="DZ4" s="5" t="e">
        <f>AND('Full Results'!A29,"AAAAAG/Nb4E=")</f>
        <v>#VALUE!</v>
      </c>
      <c r="EA4" s="5" t="e">
        <f>AND('Full Results'!B29,"AAAAAG/Nb4I=")</f>
        <v>#VALUE!</v>
      </c>
      <c r="EB4" s="5" t="e">
        <f>AND('Full Results'!C29,"AAAAAG/Nb4M=")</f>
        <v>#VALUE!</v>
      </c>
      <c r="EC4" s="5" t="e">
        <f>AND('Full Results'!D29,"AAAAAG/Nb4Q=")</f>
        <v>#VALUE!</v>
      </c>
      <c r="ED4" s="5" t="e">
        <f>AND('Full Results'!E29,"AAAAAG/Nb4U=")</f>
        <v>#VALUE!</v>
      </c>
      <c r="EE4" s="5" t="s">
        <v>139</v>
      </c>
      <c r="EF4" s="5" t="e">
        <f>AND('Full Results'!F29,"AAAAAG/Nb4c=")</f>
        <v>#VALUE!</v>
      </c>
      <c r="EG4" s="5" t="e">
        <f>AND('Full Results'!G29,"AAAAAG/Nb4g=")</f>
        <v>#VALUE!</v>
      </c>
      <c r="EH4" s="5" t="e">
        <f>AND('Full Results'!H29,"AAAAAG/Nb4k=")</f>
        <v>#VALUE!</v>
      </c>
      <c r="EI4" s="5" t="e">
        <f>AND('Full Results'!I29,"AAAAAG/Nb4o=")</f>
        <v>#VALUE!</v>
      </c>
      <c r="EJ4" s="5" t="e">
        <f>AND('Full Results'!J29,"AAAAAG/Nb4s=")</f>
        <v>#VALUE!</v>
      </c>
      <c r="EK4" s="5" t="e">
        <f>AND('Full Results'!K29,"AAAAAG/Nb4w=")</f>
        <v>#VALUE!</v>
      </c>
      <c r="EL4" s="5" t="e">
        <f>AND('Full Results'!L29,"AAAAAG/Nb40=")</f>
        <v>#VALUE!</v>
      </c>
      <c r="EM4" s="5" t="e">
        <f>AND('Full Results'!M29,"AAAAAG/Nb44=")</f>
        <v>#VALUE!</v>
      </c>
      <c r="EN4" s="5" t="e">
        <f>AND('Full Results'!N29,"AAAAAG/Nb48=")</f>
        <v>#VALUE!</v>
      </c>
      <c r="EO4" s="5" t="e">
        <f>AND('Full Results'!O29,"AAAAAG/Nb5A=")</f>
        <v>#VALUE!</v>
      </c>
      <c r="EP4" s="5" t="e">
        <f>AND('Full Results'!P29,"AAAAAG/Nb5E=")</f>
        <v>#VALUE!</v>
      </c>
      <c r="EQ4" s="5" t="e">
        <f>AND('Full Results'!Q29,"AAAAAG/Nb5I=")</f>
        <v>#VALUE!</v>
      </c>
      <c r="ER4" s="5" t="e">
        <f>AND('Full Results'!R29,"AAAAAG/Nb5M=")</f>
        <v>#VALUE!</v>
      </c>
      <c r="ES4" s="5" t="e">
        <f>AND('Full Results'!S29,"AAAAAG/Nb5Q=")</f>
        <v>#VALUE!</v>
      </c>
      <c r="ET4" s="5" t="e">
        <f>AND('Full Results'!T29,"AAAAAG/Nb5U=")</f>
        <v>#VALUE!</v>
      </c>
      <c r="EU4" s="5" t="e">
        <f>AND('Full Results'!U29,"AAAAAG/Nb5Y=")</f>
        <v>#VALUE!</v>
      </c>
      <c r="EV4" s="5" t="e">
        <f>AND('Full Results'!V29,"AAAAAG/Nb5c=")</f>
        <v>#VALUE!</v>
      </c>
      <c r="EW4" s="5" t="e">
        <f>AND('Full Results'!W29,"AAAAAG/Nb5g=")</f>
        <v>#VALUE!</v>
      </c>
      <c r="EX4" s="5" t="s">
        <v>139</v>
      </c>
      <c r="EY4" s="5" t="s">
        <v>139</v>
      </c>
      <c r="EZ4" s="5" t="s">
        <v>139</v>
      </c>
      <c r="FA4" s="5" t="s">
        <v>139</v>
      </c>
      <c r="FB4" s="5" t="s">
        <v>139</v>
      </c>
      <c r="FC4" s="5" t="s">
        <v>139</v>
      </c>
      <c r="FD4" s="5" t="s">
        <v>139</v>
      </c>
      <c r="FE4" s="5">
        <v>0</v>
      </c>
      <c r="FF4" s="5" t="e">
        <f>AND('Full Results'!A30,"AAAAAG/Nb6E=")</f>
        <v>#VALUE!</v>
      </c>
      <c r="FG4" s="5" t="e">
        <f>AND('Full Results'!B30,"AAAAAG/Nb6I=")</f>
        <v>#VALUE!</v>
      </c>
      <c r="FH4" s="5" t="e">
        <f>AND('Full Results'!C30,"AAAAAG/Nb6M=")</f>
        <v>#VALUE!</v>
      </c>
      <c r="FI4" s="5" t="e">
        <f>AND('Full Results'!D30,"AAAAAG/Nb6Q=")</f>
        <v>#VALUE!</v>
      </c>
      <c r="FJ4" s="5" t="e">
        <f>AND('Full Results'!E30,"AAAAAG/Nb6U=")</f>
        <v>#VALUE!</v>
      </c>
      <c r="FK4" s="5" t="s">
        <v>139</v>
      </c>
      <c r="FL4" s="5" t="e">
        <f>AND('Full Results'!F30,"AAAAAG/Nb6c=")</f>
        <v>#VALUE!</v>
      </c>
      <c r="FM4" s="5" t="e">
        <f>AND('Full Results'!G30,"AAAAAG/Nb6g=")</f>
        <v>#VALUE!</v>
      </c>
      <c r="FN4" s="5" t="e">
        <f>AND('Full Results'!H30,"AAAAAG/Nb6k=")</f>
        <v>#VALUE!</v>
      </c>
      <c r="FO4" s="5" t="e">
        <f>AND('Full Results'!I30,"AAAAAG/Nb6o=")</f>
        <v>#VALUE!</v>
      </c>
      <c r="FP4" s="5" t="e">
        <f>AND('Full Results'!J30,"AAAAAG/Nb6s=")</f>
        <v>#VALUE!</v>
      </c>
      <c r="FQ4" s="5" t="e">
        <f>AND('Full Results'!K30,"AAAAAG/Nb6w=")</f>
        <v>#VALUE!</v>
      </c>
      <c r="FR4" s="5" t="e">
        <f>AND('Full Results'!L30,"AAAAAG/Nb60=")</f>
        <v>#VALUE!</v>
      </c>
      <c r="FS4" s="5" t="e">
        <f>AND('Full Results'!M30,"AAAAAG/Nb64=")</f>
        <v>#VALUE!</v>
      </c>
      <c r="FT4" s="5" t="e">
        <f>AND('Full Results'!N30,"AAAAAG/Nb68=")</f>
        <v>#VALUE!</v>
      </c>
      <c r="FU4" s="5" t="e">
        <f>AND('Full Results'!O30,"AAAAAG/Nb7A=")</f>
        <v>#VALUE!</v>
      </c>
      <c r="FV4" s="5" t="e">
        <f>AND('Full Results'!P30,"AAAAAG/Nb7E=")</f>
        <v>#VALUE!</v>
      </c>
      <c r="FW4" s="5" t="e">
        <f>AND('Full Results'!Q30,"AAAAAG/Nb7I=")</f>
        <v>#VALUE!</v>
      </c>
      <c r="FX4" s="5" t="e">
        <f>AND('Full Results'!R30,"AAAAAG/Nb7M=")</f>
        <v>#VALUE!</v>
      </c>
      <c r="FY4" s="5" t="e">
        <f>AND('Full Results'!S30,"AAAAAG/Nb7Q=")</f>
        <v>#VALUE!</v>
      </c>
      <c r="FZ4" s="5" t="e">
        <f>AND('Full Results'!T30,"AAAAAG/Nb7U=")</f>
        <v>#VALUE!</v>
      </c>
      <c r="GA4" s="5" t="e">
        <f>AND('Full Results'!U30,"AAAAAG/Nb7Y=")</f>
        <v>#VALUE!</v>
      </c>
      <c r="GB4" s="5" t="e">
        <f>AND('Full Results'!V30,"AAAAAG/Nb7c=")</f>
        <v>#VALUE!</v>
      </c>
      <c r="GC4" s="5" t="e">
        <f>AND('Full Results'!W30,"AAAAAG/Nb7g=")</f>
        <v>#VALUE!</v>
      </c>
      <c r="GD4" s="5" t="s">
        <v>139</v>
      </c>
      <c r="GE4" s="5" t="s">
        <v>139</v>
      </c>
      <c r="GF4" s="5" t="s">
        <v>139</v>
      </c>
      <c r="GG4" s="5" t="s">
        <v>139</v>
      </c>
      <c r="GH4" s="5" t="s">
        <v>139</v>
      </c>
      <c r="GI4" s="5" t="s">
        <v>139</v>
      </c>
      <c r="GJ4" s="5" t="s">
        <v>139</v>
      </c>
      <c r="GK4" s="5">
        <v>0</v>
      </c>
      <c r="GL4" s="5" t="e">
        <f>AND('Full Results'!A31,"AAAAAG/Nb8E=")</f>
        <v>#VALUE!</v>
      </c>
      <c r="GM4" s="5" t="e">
        <f>AND('Full Results'!B31,"AAAAAG/Nb8I=")</f>
        <v>#VALUE!</v>
      </c>
      <c r="GN4" s="5" t="e">
        <f>AND('Full Results'!C31,"AAAAAG/Nb8M=")</f>
        <v>#VALUE!</v>
      </c>
      <c r="GO4" s="5" t="e">
        <f>AND('Full Results'!D31,"AAAAAG/Nb8Q=")</f>
        <v>#VALUE!</v>
      </c>
      <c r="GP4" s="5" t="e">
        <f>AND('Full Results'!E31,"AAAAAG/Nb8U=")</f>
        <v>#VALUE!</v>
      </c>
      <c r="GQ4" s="5" t="s">
        <v>139</v>
      </c>
      <c r="GR4" s="5" t="e">
        <f>AND('Full Results'!F31,"AAAAAG/Nb8c=")</f>
        <v>#VALUE!</v>
      </c>
      <c r="GS4" s="5" t="e">
        <f>AND('Full Results'!G31,"AAAAAG/Nb8g=")</f>
        <v>#VALUE!</v>
      </c>
      <c r="GT4" s="5" t="e">
        <f>AND('Full Results'!H31,"AAAAAG/Nb8k=")</f>
        <v>#VALUE!</v>
      </c>
      <c r="GU4" s="5" t="e">
        <f>AND('Full Results'!I31,"AAAAAG/Nb8o=")</f>
        <v>#VALUE!</v>
      </c>
      <c r="GV4" s="5" t="e">
        <f>AND('Full Results'!J31,"AAAAAG/Nb8s=")</f>
        <v>#VALUE!</v>
      </c>
      <c r="GW4" s="5" t="e">
        <f>AND('Full Results'!K31,"AAAAAG/Nb8w=")</f>
        <v>#VALUE!</v>
      </c>
      <c r="GX4" s="5" t="e">
        <f>AND('Full Results'!L31,"AAAAAG/Nb80=")</f>
        <v>#VALUE!</v>
      </c>
      <c r="GY4" s="5" t="e">
        <f>AND('Full Results'!M31,"AAAAAG/Nb84=")</f>
        <v>#VALUE!</v>
      </c>
      <c r="GZ4" s="5" t="e">
        <f>AND('Full Results'!N31,"AAAAAG/Nb88=")</f>
        <v>#VALUE!</v>
      </c>
      <c r="HA4" s="5" t="e">
        <f>AND('Full Results'!O31,"AAAAAG/Nb9A=")</f>
        <v>#VALUE!</v>
      </c>
      <c r="HB4" s="5" t="e">
        <f>AND('Full Results'!P31,"AAAAAG/Nb9E=")</f>
        <v>#VALUE!</v>
      </c>
      <c r="HC4" s="5" t="e">
        <f>AND('Full Results'!Q31,"AAAAAG/Nb9I=")</f>
        <v>#VALUE!</v>
      </c>
      <c r="HD4" s="5" t="e">
        <f>AND('Full Results'!R31,"AAAAAG/Nb9M=")</f>
        <v>#VALUE!</v>
      </c>
      <c r="HE4" s="5" t="e">
        <f>AND('Full Results'!S31,"AAAAAG/Nb9Q=")</f>
        <v>#VALUE!</v>
      </c>
      <c r="HF4" s="5" t="e">
        <f>AND('Full Results'!T31,"AAAAAG/Nb9U=")</f>
        <v>#VALUE!</v>
      </c>
      <c r="HG4" s="5" t="e">
        <f>AND('Full Results'!U31,"AAAAAG/Nb9Y=")</f>
        <v>#VALUE!</v>
      </c>
      <c r="HH4" s="5" t="e">
        <f>AND('Full Results'!V31,"AAAAAG/Nb9c=")</f>
        <v>#VALUE!</v>
      </c>
      <c r="HI4" s="5" t="e">
        <f>AND('Full Results'!W31,"AAAAAG/Nb9g=")</f>
        <v>#VALUE!</v>
      </c>
      <c r="HJ4" s="5" t="s">
        <v>139</v>
      </c>
      <c r="HK4" s="5" t="s">
        <v>139</v>
      </c>
      <c r="HL4" s="5" t="s">
        <v>139</v>
      </c>
      <c r="HM4" s="5" t="s">
        <v>139</v>
      </c>
      <c r="HN4" s="5" t="s">
        <v>139</v>
      </c>
      <c r="HO4" s="5" t="s">
        <v>139</v>
      </c>
      <c r="HP4" s="5" t="s">
        <v>139</v>
      </c>
      <c r="HQ4" s="5">
        <v>0</v>
      </c>
      <c r="HR4" s="5" t="e">
        <f>AND('Full Results'!A32,"AAAAAG/Nb+E=")</f>
        <v>#VALUE!</v>
      </c>
      <c r="HS4" s="5" t="e">
        <f>AND('Full Results'!B32,"AAAAAG/Nb+I=")</f>
        <v>#VALUE!</v>
      </c>
      <c r="HT4" s="5" t="e">
        <f>AND('Full Results'!C32,"AAAAAG/Nb+M=")</f>
        <v>#VALUE!</v>
      </c>
      <c r="HU4" s="5" t="e">
        <f>AND('Full Results'!D32,"AAAAAG/Nb+Q=")</f>
        <v>#VALUE!</v>
      </c>
      <c r="HV4" s="5" t="e">
        <f>AND('Full Results'!E32,"AAAAAG/Nb+U=")</f>
        <v>#VALUE!</v>
      </c>
      <c r="HW4" s="5" t="s">
        <v>139</v>
      </c>
      <c r="HX4" s="5" t="e">
        <f>AND('Full Results'!F32,"AAAAAG/Nb+c=")</f>
        <v>#VALUE!</v>
      </c>
      <c r="HY4" s="5" t="e">
        <f>AND('Full Results'!G32,"AAAAAG/Nb+g=")</f>
        <v>#VALUE!</v>
      </c>
      <c r="HZ4" s="5" t="e">
        <f>AND('Full Results'!H32,"AAAAAG/Nb+k=")</f>
        <v>#VALUE!</v>
      </c>
      <c r="IA4" s="5" t="e">
        <f>AND('Full Results'!I32,"AAAAAG/Nb+o=")</f>
        <v>#VALUE!</v>
      </c>
      <c r="IB4" s="5" t="e">
        <f>AND('Full Results'!J32,"AAAAAG/Nb+s=")</f>
        <v>#VALUE!</v>
      </c>
      <c r="IC4" s="5" t="e">
        <f>AND('Full Results'!K32,"AAAAAG/Nb+w=")</f>
        <v>#VALUE!</v>
      </c>
      <c r="ID4" s="5" t="e">
        <f>AND('Full Results'!L32,"AAAAAG/Nb+0=")</f>
        <v>#VALUE!</v>
      </c>
      <c r="IE4" s="5" t="e">
        <f>AND('Full Results'!M32,"AAAAAG/Nb+4=")</f>
        <v>#VALUE!</v>
      </c>
      <c r="IF4" s="5" t="e">
        <f>AND('Full Results'!N32,"AAAAAG/Nb+8=")</f>
        <v>#VALUE!</v>
      </c>
      <c r="IG4" s="5" t="e">
        <f>AND('Full Results'!O32,"AAAAAG/Nb/A=")</f>
        <v>#VALUE!</v>
      </c>
      <c r="IH4" s="5" t="e">
        <f>AND('Full Results'!P32,"AAAAAG/Nb/E=")</f>
        <v>#VALUE!</v>
      </c>
      <c r="II4" s="5" t="e">
        <f>AND('Full Results'!Q32,"AAAAAG/Nb/I=")</f>
        <v>#VALUE!</v>
      </c>
      <c r="IJ4" s="5" t="e">
        <f>AND('Full Results'!R32,"AAAAAG/Nb/M=")</f>
        <v>#VALUE!</v>
      </c>
      <c r="IK4" s="5" t="e">
        <f>AND('Full Results'!S32,"AAAAAG/Nb/Q=")</f>
        <v>#VALUE!</v>
      </c>
      <c r="IL4" s="5" t="e">
        <f>AND('Full Results'!T32,"AAAAAG/Nb/U=")</f>
        <v>#VALUE!</v>
      </c>
      <c r="IM4" s="5" t="e">
        <f>AND('Full Results'!U32,"AAAAAG/Nb/Y=")</f>
        <v>#VALUE!</v>
      </c>
      <c r="IN4" s="5" t="e">
        <f>AND('Full Results'!V32,"AAAAAG/Nb/c=")</f>
        <v>#VALUE!</v>
      </c>
      <c r="IO4" s="5" t="e">
        <f>AND('Full Results'!W32,"AAAAAG/Nb/g=")</f>
        <v>#VALUE!</v>
      </c>
      <c r="IP4" s="5" t="s">
        <v>139</v>
      </c>
      <c r="IQ4" s="5" t="s">
        <v>139</v>
      </c>
      <c r="IR4" s="5" t="s">
        <v>139</v>
      </c>
      <c r="IS4" s="5" t="s">
        <v>139</v>
      </c>
      <c r="IT4" s="5" t="s">
        <v>139</v>
      </c>
      <c r="IU4" s="5" t="s">
        <v>139</v>
      </c>
      <c r="IV4" s="5" t="s">
        <v>139</v>
      </c>
    </row>
    <row r="5" spans="1:256" ht="15" customHeight="1" x14ac:dyDescent="0.2">
      <c r="A5" s="5" t="s">
        <v>140</v>
      </c>
      <c r="B5" s="5" t="e">
        <f>AND('Full Results'!A33,"AAAAAHz/wQE=")</f>
        <v>#VALUE!</v>
      </c>
      <c r="C5" s="5" t="e">
        <f>AND('Full Results'!B33,"AAAAAHz/wQI=")</f>
        <v>#VALUE!</v>
      </c>
      <c r="D5" s="5" t="e">
        <f>AND('Full Results'!C33,"AAAAAHz/wQM=")</f>
        <v>#VALUE!</v>
      </c>
      <c r="E5" s="5" t="e">
        <f>AND('Full Results'!D33,"AAAAAHz/wQQ=")</f>
        <v>#VALUE!</v>
      </c>
      <c r="F5" s="5" t="e">
        <f>AND('Full Results'!E33,"AAAAAHz/wQU=")</f>
        <v>#VALUE!</v>
      </c>
      <c r="G5" s="5" t="s">
        <v>139</v>
      </c>
      <c r="H5" s="5" t="e">
        <f>AND('Full Results'!F33,"AAAAAHz/wQc=")</f>
        <v>#VALUE!</v>
      </c>
      <c r="I5" s="5" t="e">
        <f>AND('Full Results'!G33,"AAAAAHz/wQg=")</f>
        <v>#VALUE!</v>
      </c>
      <c r="J5" s="5" t="e">
        <f>AND('Full Results'!H33,"AAAAAHz/wQk=")</f>
        <v>#VALUE!</v>
      </c>
      <c r="K5" s="5" t="e">
        <f>AND('Full Results'!I33,"AAAAAHz/wQo=")</f>
        <v>#VALUE!</v>
      </c>
      <c r="L5" s="5" t="e">
        <f>AND('Full Results'!J33,"AAAAAHz/wQs=")</f>
        <v>#VALUE!</v>
      </c>
      <c r="M5" s="5" t="e">
        <f>AND('Full Results'!K33,"AAAAAHz/wQw=")</f>
        <v>#VALUE!</v>
      </c>
      <c r="N5" s="5" t="e">
        <f>AND('Full Results'!L33,"AAAAAHz/wQ0=")</f>
        <v>#VALUE!</v>
      </c>
      <c r="O5" s="5" t="e">
        <f>AND('Full Results'!M33,"AAAAAHz/wQ4=")</f>
        <v>#VALUE!</v>
      </c>
      <c r="P5" s="5" t="e">
        <f>AND('Full Results'!N33,"AAAAAHz/wQ8=")</f>
        <v>#VALUE!</v>
      </c>
      <c r="Q5" s="5" t="e">
        <f>AND('Full Results'!O33,"AAAAAHz/wRA=")</f>
        <v>#VALUE!</v>
      </c>
      <c r="R5" s="5" t="e">
        <f>AND('Full Results'!P33,"AAAAAHz/wRE=")</f>
        <v>#VALUE!</v>
      </c>
      <c r="S5" s="5" t="e">
        <f>AND('Full Results'!Q33,"AAAAAHz/wRI=")</f>
        <v>#VALUE!</v>
      </c>
      <c r="T5" s="5" t="e">
        <f>AND('Full Results'!R33,"AAAAAHz/wRM=")</f>
        <v>#VALUE!</v>
      </c>
      <c r="U5" s="5" t="e">
        <f>AND('Full Results'!S33,"AAAAAHz/wRQ=")</f>
        <v>#VALUE!</v>
      </c>
      <c r="V5" s="5" t="e">
        <f>AND('Full Results'!T33,"AAAAAHz/wRU=")</f>
        <v>#VALUE!</v>
      </c>
      <c r="W5" s="5" t="e">
        <f>AND('Full Results'!U33,"AAAAAHz/wRY=")</f>
        <v>#VALUE!</v>
      </c>
      <c r="X5" s="5" t="e">
        <f>AND('Full Results'!V33,"AAAAAHz/wRc=")</f>
        <v>#VALUE!</v>
      </c>
      <c r="Y5" s="5" t="e">
        <f>AND('Full Results'!W33,"AAAAAHz/wRg=")</f>
        <v>#VALUE!</v>
      </c>
      <c r="Z5" s="5" t="s">
        <v>139</v>
      </c>
      <c r="AA5" s="5" t="s">
        <v>139</v>
      </c>
      <c r="AB5" s="5" t="s">
        <v>139</v>
      </c>
      <c r="AC5" s="5" t="s">
        <v>139</v>
      </c>
      <c r="AD5" s="5" t="s">
        <v>139</v>
      </c>
      <c r="AE5" s="5" t="s">
        <v>139</v>
      </c>
      <c r="AF5" s="5" t="s">
        <v>139</v>
      </c>
      <c r="AG5" s="5">
        <v>0</v>
      </c>
      <c r="AH5" s="5" t="e">
        <f>AND('Full Results'!A34,"AAAAAHz/wSE=")</f>
        <v>#VALUE!</v>
      </c>
      <c r="AI5" s="5" t="e">
        <f>AND('Full Results'!B34,"AAAAAHz/wSI=")</f>
        <v>#VALUE!</v>
      </c>
      <c r="AJ5" s="5" t="e">
        <f>AND('Full Results'!C34,"AAAAAHz/wSM=")</f>
        <v>#VALUE!</v>
      </c>
      <c r="AK5" s="5" t="e">
        <f>AND('Full Results'!D34,"AAAAAHz/wSQ=")</f>
        <v>#VALUE!</v>
      </c>
      <c r="AL5" s="5" t="e">
        <f>AND('Full Results'!E34,"AAAAAHz/wSU=")</f>
        <v>#VALUE!</v>
      </c>
      <c r="AM5" s="5" t="s">
        <v>139</v>
      </c>
      <c r="AN5" s="5" t="e">
        <f>AND('Full Results'!F34,"AAAAAHz/wSc=")</f>
        <v>#VALUE!</v>
      </c>
      <c r="AO5" s="5" t="e">
        <f>AND('Full Results'!G34,"AAAAAHz/wSg=")</f>
        <v>#VALUE!</v>
      </c>
      <c r="AP5" s="5" t="e">
        <f>AND('Full Results'!H34,"AAAAAHz/wSk=")</f>
        <v>#VALUE!</v>
      </c>
      <c r="AQ5" s="5" t="e">
        <f>AND('Full Results'!I34,"AAAAAHz/wSo=")</f>
        <v>#VALUE!</v>
      </c>
      <c r="AR5" s="5" t="e">
        <f>AND('Full Results'!J34,"AAAAAHz/wSs=")</f>
        <v>#VALUE!</v>
      </c>
      <c r="AS5" s="5" t="e">
        <f>AND('Full Results'!K34,"AAAAAHz/wSw=")</f>
        <v>#VALUE!</v>
      </c>
      <c r="AT5" s="5" t="e">
        <f>AND('Full Results'!L34,"AAAAAHz/wS0=")</f>
        <v>#VALUE!</v>
      </c>
      <c r="AU5" s="5" t="e">
        <f>AND('Full Results'!M34,"AAAAAHz/wS4=")</f>
        <v>#VALUE!</v>
      </c>
      <c r="AV5" s="5" t="e">
        <f>AND('Full Results'!N34,"AAAAAHz/wS8=")</f>
        <v>#VALUE!</v>
      </c>
      <c r="AW5" s="5" t="e">
        <f>AND('Full Results'!O34,"AAAAAHz/wTA=")</f>
        <v>#VALUE!</v>
      </c>
      <c r="AX5" s="5" t="e">
        <f>AND('Full Results'!P34,"AAAAAHz/wTE=")</f>
        <v>#VALUE!</v>
      </c>
      <c r="AY5" s="5" t="e">
        <f>AND('Full Results'!Q34,"AAAAAHz/wTI=")</f>
        <v>#VALUE!</v>
      </c>
      <c r="AZ5" s="5" t="e">
        <f>AND('Full Results'!R34,"AAAAAHz/wTM=")</f>
        <v>#VALUE!</v>
      </c>
      <c r="BA5" s="5" t="e">
        <f>AND('Full Results'!S34,"AAAAAHz/wTQ=")</f>
        <v>#VALUE!</v>
      </c>
      <c r="BB5" s="5" t="e">
        <f>AND('Full Results'!T34,"AAAAAHz/wTU=")</f>
        <v>#VALUE!</v>
      </c>
      <c r="BC5" s="5" t="e">
        <f>AND('Full Results'!U34,"AAAAAHz/wTY=")</f>
        <v>#VALUE!</v>
      </c>
      <c r="BD5" s="5" t="e">
        <f>AND('Full Results'!V34,"AAAAAHz/wTc=")</f>
        <v>#VALUE!</v>
      </c>
      <c r="BE5" s="5" t="e">
        <f>AND('Full Results'!W34,"AAAAAHz/wTg=")</f>
        <v>#VALUE!</v>
      </c>
      <c r="BF5" s="5" t="s">
        <v>139</v>
      </c>
      <c r="BG5" s="5" t="s">
        <v>139</v>
      </c>
      <c r="BH5" s="5" t="s">
        <v>139</v>
      </c>
      <c r="BI5" s="5" t="s">
        <v>139</v>
      </c>
      <c r="BJ5" s="5" t="s">
        <v>139</v>
      </c>
      <c r="BK5" s="5" t="s">
        <v>139</v>
      </c>
      <c r="BL5" s="5" t="s">
        <v>139</v>
      </c>
      <c r="BM5" s="5">
        <v>0</v>
      </c>
      <c r="BN5" s="5" t="e">
        <f>AND('Full Results'!A35,"AAAAAHz/wUE=")</f>
        <v>#VALUE!</v>
      </c>
      <c r="BO5" s="5" t="e">
        <f>AND('Full Results'!B35,"AAAAAHz/wUI=")</f>
        <v>#VALUE!</v>
      </c>
      <c r="BP5" s="5" t="e">
        <f>AND('Full Results'!C35,"AAAAAHz/wUM=")</f>
        <v>#VALUE!</v>
      </c>
      <c r="BQ5" s="5" t="e">
        <f>AND('Full Results'!D35,"AAAAAHz/wUQ=")</f>
        <v>#VALUE!</v>
      </c>
      <c r="BR5" s="5" t="e">
        <f>AND('Full Results'!E35,"AAAAAHz/wUU=")</f>
        <v>#VALUE!</v>
      </c>
      <c r="BS5" s="5" t="s">
        <v>139</v>
      </c>
      <c r="BT5" s="5" t="e">
        <f>AND('Full Results'!F35,"AAAAAHz/wUc=")</f>
        <v>#VALUE!</v>
      </c>
      <c r="BU5" s="5" t="e">
        <f>AND('Full Results'!G35,"AAAAAHz/wUg=")</f>
        <v>#VALUE!</v>
      </c>
      <c r="BV5" s="5" t="e">
        <f>AND('Full Results'!H35,"AAAAAHz/wUk=")</f>
        <v>#VALUE!</v>
      </c>
      <c r="BW5" s="5" t="e">
        <f>AND('Full Results'!I35,"AAAAAHz/wUo=")</f>
        <v>#VALUE!</v>
      </c>
      <c r="BX5" s="5" t="e">
        <f>AND('Full Results'!J35,"AAAAAHz/wUs=")</f>
        <v>#VALUE!</v>
      </c>
      <c r="BY5" s="5" t="e">
        <f>AND('Full Results'!K35,"AAAAAHz/wUw=")</f>
        <v>#VALUE!</v>
      </c>
      <c r="BZ5" s="5" t="e">
        <f>AND('Full Results'!L35,"AAAAAHz/wU0=")</f>
        <v>#VALUE!</v>
      </c>
      <c r="CA5" s="5" t="e">
        <f>AND('Full Results'!M35,"AAAAAHz/wU4=")</f>
        <v>#VALUE!</v>
      </c>
      <c r="CB5" s="5" t="e">
        <f>AND('Full Results'!N35,"AAAAAHz/wU8=")</f>
        <v>#VALUE!</v>
      </c>
      <c r="CC5" s="5" t="e">
        <f>AND('Full Results'!O35,"AAAAAHz/wVA=")</f>
        <v>#VALUE!</v>
      </c>
      <c r="CD5" s="5" t="e">
        <f>AND('Full Results'!P35,"AAAAAHz/wVE=")</f>
        <v>#VALUE!</v>
      </c>
      <c r="CE5" s="5" t="e">
        <f>AND('Full Results'!Q35,"AAAAAHz/wVI=")</f>
        <v>#VALUE!</v>
      </c>
      <c r="CF5" s="5" t="e">
        <f>AND('Full Results'!R35,"AAAAAHz/wVM=")</f>
        <v>#VALUE!</v>
      </c>
      <c r="CG5" s="5" t="e">
        <f>AND('Full Results'!S35,"AAAAAHz/wVQ=")</f>
        <v>#VALUE!</v>
      </c>
      <c r="CH5" s="5" t="e">
        <f>AND('Full Results'!T35,"AAAAAHz/wVU=")</f>
        <v>#VALUE!</v>
      </c>
      <c r="CI5" s="5" t="e">
        <f>AND('Full Results'!U35,"AAAAAHz/wVY=")</f>
        <v>#VALUE!</v>
      </c>
      <c r="CJ5" s="5" t="e">
        <f>AND('Full Results'!V35,"AAAAAHz/wVc=")</f>
        <v>#VALUE!</v>
      </c>
      <c r="CK5" s="5" t="e">
        <f>AND('Full Results'!W35,"AAAAAHz/wVg=")</f>
        <v>#VALUE!</v>
      </c>
      <c r="CL5" s="5" t="s">
        <v>139</v>
      </c>
      <c r="CM5" s="5" t="s">
        <v>139</v>
      </c>
      <c r="CN5" s="5" t="s">
        <v>139</v>
      </c>
      <c r="CO5" s="5" t="s">
        <v>139</v>
      </c>
      <c r="CP5" s="5" t="s">
        <v>139</v>
      </c>
      <c r="CQ5" s="5" t="s">
        <v>139</v>
      </c>
      <c r="CR5" s="5" t="s">
        <v>139</v>
      </c>
      <c r="CS5" s="5">
        <v>0</v>
      </c>
      <c r="CT5" s="5" t="e">
        <f>AND('Full Results'!A36,"AAAAAHz/wWE=")</f>
        <v>#VALUE!</v>
      </c>
      <c r="CU5" s="5" t="e">
        <f>AND('Full Results'!B36,"AAAAAHz/wWI=")</f>
        <v>#VALUE!</v>
      </c>
      <c r="CV5" s="5" t="e">
        <f>AND('Full Results'!C36,"AAAAAHz/wWM=")</f>
        <v>#VALUE!</v>
      </c>
      <c r="CW5" s="5" t="e">
        <f>AND('Full Results'!D36,"AAAAAHz/wWQ=")</f>
        <v>#VALUE!</v>
      </c>
      <c r="CX5" s="5" t="e">
        <f>AND('Full Results'!E36,"AAAAAHz/wWU=")</f>
        <v>#VALUE!</v>
      </c>
      <c r="CY5" s="5" t="s">
        <v>139</v>
      </c>
      <c r="CZ5" s="5" t="e">
        <f>AND('Full Results'!F36,"AAAAAHz/wWc=")</f>
        <v>#VALUE!</v>
      </c>
      <c r="DA5" s="5" t="e">
        <f>AND('Full Results'!G36,"AAAAAHz/wWg=")</f>
        <v>#VALUE!</v>
      </c>
      <c r="DB5" s="5" t="e">
        <f>AND('Full Results'!H36,"AAAAAHz/wWk=")</f>
        <v>#VALUE!</v>
      </c>
      <c r="DC5" s="5" t="e">
        <f>AND('Full Results'!I36,"AAAAAHz/wWo=")</f>
        <v>#VALUE!</v>
      </c>
      <c r="DD5" s="5" t="e">
        <f>AND('Full Results'!J36,"AAAAAHz/wWs=")</f>
        <v>#VALUE!</v>
      </c>
      <c r="DE5" s="5" t="e">
        <f>AND('Full Results'!K36,"AAAAAHz/wWw=")</f>
        <v>#VALUE!</v>
      </c>
      <c r="DF5" s="5" t="e">
        <f>AND('Full Results'!L36,"AAAAAHz/wW0=")</f>
        <v>#VALUE!</v>
      </c>
      <c r="DG5" s="5" t="e">
        <f>AND('Full Results'!M36,"AAAAAHz/wW4=")</f>
        <v>#VALUE!</v>
      </c>
      <c r="DH5" s="5" t="e">
        <f>AND('Full Results'!N36,"AAAAAHz/wW8=")</f>
        <v>#VALUE!</v>
      </c>
      <c r="DI5" s="5" t="e">
        <f>AND('Full Results'!O36,"AAAAAHz/wXA=")</f>
        <v>#VALUE!</v>
      </c>
      <c r="DJ5" s="5" t="e">
        <f>AND('Full Results'!P36,"AAAAAHz/wXE=")</f>
        <v>#VALUE!</v>
      </c>
      <c r="DK5" s="5" t="e">
        <f>AND('Full Results'!Q36,"AAAAAHz/wXI=")</f>
        <v>#VALUE!</v>
      </c>
      <c r="DL5" s="5" t="e">
        <f>AND('Full Results'!R36,"AAAAAHz/wXM=")</f>
        <v>#VALUE!</v>
      </c>
      <c r="DM5" s="5" t="e">
        <f>AND('Full Results'!S36,"AAAAAHz/wXQ=")</f>
        <v>#VALUE!</v>
      </c>
      <c r="DN5" s="5" t="e">
        <f>AND('Full Results'!T36,"AAAAAHz/wXU=")</f>
        <v>#VALUE!</v>
      </c>
      <c r="DO5" s="5" t="e">
        <f>AND('Full Results'!U36,"AAAAAHz/wXY=")</f>
        <v>#VALUE!</v>
      </c>
      <c r="DP5" s="5" t="e">
        <f>AND('Full Results'!V36,"AAAAAHz/wXc=")</f>
        <v>#VALUE!</v>
      </c>
      <c r="DQ5" s="5" t="e">
        <f>AND('Full Results'!W36,"AAAAAHz/wXg=")</f>
        <v>#VALUE!</v>
      </c>
      <c r="DR5" s="5" t="s">
        <v>139</v>
      </c>
      <c r="DS5" s="5" t="s">
        <v>139</v>
      </c>
      <c r="DT5" s="5" t="s">
        <v>139</v>
      </c>
      <c r="DU5" s="5" t="s">
        <v>139</v>
      </c>
      <c r="DV5" s="5" t="s">
        <v>139</v>
      </c>
      <c r="DW5" s="5" t="s">
        <v>139</v>
      </c>
      <c r="DX5" s="5" t="s">
        <v>139</v>
      </c>
      <c r="DY5" s="5">
        <v>0</v>
      </c>
      <c r="DZ5" s="5" t="e">
        <f>AND('Full Results'!A37,"AAAAAHz/wYE=")</f>
        <v>#VALUE!</v>
      </c>
      <c r="EA5" s="5" t="e">
        <f>AND('Full Results'!B37,"AAAAAHz/wYI=")</f>
        <v>#VALUE!</v>
      </c>
      <c r="EB5" s="5" t="e">
        <f>AND('Full Results'!C37,"AAAAAHz/wYM=")</f>
        <v>#VALUE!</v>
      </c>
      <c r="EC5" s="5" t="e">
        <f>AND('Full Results'!D37,"AAAAAHz/wYQ=")</f>
        <v>#VALUE!</v>
      </c>
      <c r="ED5" s="5" t="e">
        <f>AND('Full Results'!E37,"AAAAAHz/wYU=")</f>
        <v>#VALUE!</v>
      </c>
      <c r="EE5" s="5" t="s">
        <v>139</v>
      </c>
      <c r="EF5" s="5" t="e">
        <f>AND('Full Results'!F37,"AAAAAHz/wYc=")</f>
        <v>#VALUE!</v>
      </c>
      <c r="EG5" s="5" t="e">
        <f>AND('Full Results'!G37,"AAAAAHz/wYg=")</f>
        <v>#VALUE!</v>
      </c>
      <c r="EH5" s="5" t="e">
        <f>AND('Full Results'!H37,"AAAAAHz/wYk=")</f>
        <v>#VALUE!</v>
      </c>
      <c r="EI5" s="5" t="e">
        <f>AND('Full Results'!I37,"AAAAAHz/wYo=")</f>
        <v>#VALUE!</v>
      </c>
      <c r="EJ5" s="5" t="e">
        <f>AND('Full Results'!J37,"AAAAAHz/wYs=")</f>
        <v>#VALUE!</v>
      </c>
      <c r="EK5" s="5" t="e">
        <f>AND('Full Results'!K37,"AAAAAHz/wYw=")</f>
        <v>#VALUE!</v>
      </c>
      <c r="EL5" s="5" t="e">
        <f>AND('Full Results'!L37,"AAAAAHz/wY0=")</f>
        <v>#VALUE!</v>
      </c>
      <c r="EM5" s="5" t="e">
        <f>AND('Full Results'!M37,"AAAAAHz/wY4=")</f>
        <v>#VALUE!</v>
      </c>
      <c r="EN5" s="5" t="e">
        <f>AND('Full Results'!N37,"AAAAAHz/wY8=")</f>
        <v>#VALUE!</v>
      </c>
      <c r="EO5" s="5" t="e">
        <f>AND('Full Results'!O37,"AAAAAHz/wZA=")</f>
        <v>#VALUE!</v>
      </c>
      <c r="EP5" s="5" t="e">
        <f>AND('Full Results'!P37,"AAAAAHz/wZE=")</f>
        <v>#VALUE!</v>
      </c>
      <c r="EQ5" s="5" t="e">
        <f>AND('Full Results'!Q37,"AAAAAHz/wZI=")</f>
        <v>#VALUE!</v>
      </c>
      <c r="ER5" s="5" t="e">
        <f>AND('Full Results'!R37,"AAAAAHz/wZM=")</f>
        <v>#VALUE!</v>
      </c>
      <c r="ES5" s="5" t="e">
        <f>AND('Full Results'!S37,"AAAAAHz/wZQ=")</f>
        <v>#VALUE!</v>
      </c>
      <c r="ET5" s="5" t="e">
        <f>AND('Full Results'!T37,"AAAAAHz/wZU=")</f>
        <v>#VALUE!</v>
      </c>
      <c r="EU5" s="5" t="e">
        <f>AND('Full Results'!U37,"AAAAAHz/wZY=")</f>
        <v>#VALUE!</v>
      </c>
      <c r="EV5" s="5" t="e">
        <f>AND('Full Results'!V37,"AAAAAHz/wZc=")</f>
        <v>#VALUE!</v>
      </c>
      <c r="EW5" s="5" t="e">
        <f>AND('Full Results'!W37,"AAAAAHz/wZg=")</f>
        <v>#VALUE!</v>
      </c>
      <c r="EX5" s="5" t="s">
        <v>139</v>
      </c>
      <c r="EY5" s="5" t="s">
        <v>139</v>
      </c>
      <c r="EZ5" s="5" t="s">
        <v>139</v>
      </c>
      <c r="FA5" s="5" t="s">
        <v>139</v>
      </c>
      <c r="FB5" s="5" t="s">
        <v>139</v>
      </c>
      <c r="FC5" s="5" t="s">
        <v>139</v>
      </c>
      <c r="FD5" s="5" t="s">
        <v>139</v>
      </c>
      <c r="FE5" s="5">
        <v>0</v>
      </c>
      <c r="FF5" s="5" t="e">
        <f>AND('Full Results'!A38,"AAAAAHz/waE=")</f>
        <v>#VALUE!</v>
      </c>
      <c r="FG5" s="5" t="e">
        <f>AND('Full Results'!B38,"AAAAAHz/waI=")</f>
        <v>#VALUE!</v>
      </c>
      <c r="FH5" s="5" t="e">
        <f>AND('Full Results'!C38,"AAAAAHz/waM=")</f>
        <v>#VALUE!</v>
      </c>
      <c r="FI5" s="5" t="e">
        <f>AND('Full Results'!D38,"AAAAAHz/waQ=")</f>
        <v>#VALUE!</v>
      </c>
      <c r="FJ5" s="5" t="e">
        <f>AND('Full Results'!E38,"AAAAAHz/waU=")</f>
        <v>#VALUE!</v>
      </c>
      <c r="FK5" s="5" t="s">
        <v>139</v>
      </c>
      <c r="FL5" s="5" t="e">
        <f>AND('Full Results'!F38,"AAAAAHz/wac=")</f>
        <v>#VALUE!</v>
      </c>
      <c r="FM5" s="5" t="e">
        <f>AND('Full Results'!G38,"AAAAAHz/wag=")</f>
        <v>#VALUE!</v>
      </c>
      <c r="FN5" s="5" t="e">
        <f>AND('Full Results'!H38,"AAAAAHz/wak=")</f>
        <v>#VALUE!</v>
      </c>
      <c r="FO5" s="5" t="e">
        <f>AND('Full Results'!I38,"AAAAAHz/wao=")</f>
        <v>#VALUE!</v>
      </c>
      <c r="FP5" s="5" t="e">
        <f>AND('Full Results'!J38,"AAAAAHz/was=")</f>
        <v>#VALUE!</v>
      </c>
      <c r="FQ5" s="5" t="e">
        <f>AND('Full Results'!K38,"AAAAAHz/waw=")</f>
        <v>#VALUE!</v>
      </c>
      <c r="FR5" s="5" t="e">
        <f>AND('Full Results'!L38,"AAAAAHz/wa0=")</f>
        <v>#VALUE!</v>
      </c>
      <c r="FS5" s="5" t="e">
        <f>AND('Full Results'!M38,"AAAAAHz/wa4=")</f>
        <v>#VALUE!</v>
      </c>
      <c r="FT5" s="5" t="e">
        <f>AND('Full Results'!N38,"AAAAAHz/wa8=")</f>
        <v>#VALUE!</v>
      </c>
      <c r="FU5" s="5" t="e">
        <f>AND('Full Results'!O38,"AAAAAHz/wbA=")</f>
        <v>#VALUE!</v>
      </c>
      <c r="FV5" s="5" t="e">
        <f>AND('Full Results'!P38,"AAAAAHz/wbE=")</f>
        <v>#VALUE!</v>
      </c>
      <c r="FW5" s="5" t="e">
        <f>AND('Full Results'!Q38,"AAAAAHz/wbI=")</f>
        <v>#VALUE!</v>
      </c>
      <c r="FX5" s="5" t="e">
        <f>AND('Full Results'!R38,"AAAAAHz/wbM=")</f>
        <v>#VALUE!</v>
      </c>
      <c r="FY5" s="5" t="e">
        <f>AND('Full Results'!S38,"AAAAAHz/wbQ=")</f>
        <v>#VALUE!</v>
      </c>
      <c r="FZ5" s="5" t="e">
        <f>AND('Full Results'!T38,"AAAAAHz/wbU=")</f>
        <v>#VALUE!</v>
      </c>
      <c r="GA5" s="5" t="e">
        <f>AND('Full Results'!U38,"AAAAAHz/wbY=")</f>
        <v>#VALUE!</v>
      </c>
      <c r="GB5" s="5" t="e">
        <f>AND('Full Results'!V38,"AAAAAHz/wbc=")</f>
        <v>#VALUE!</v>
      </c>
      <c r="GC5" s="5" t="e">
        <f>AND('Full Results'!W38,"AAAAAHz/wbg=")</f>
        <v>#VALUE!</v>
      </c>
      <c r="GD5" s="5" t="s">
        <v>139</v>
      </c>
      <c r="GE5" s="5" t="s">
        <v>139</v>
      </c>
      <c r="GF5" s="5" t="s">
        <v>139</v>
      </c>
      <c r="GG5" s="5" t="s">
        <v>139</v>
      </c>
      <c r="GH5" s="5" t="s">
        <v>139</v>
      </c>
      <c r="GI5" s="5" t="s">
        <v>139</v>
      </c>
      <c r="GJ5" s="5" t="s">
        <v>139</v>
      </c>
      <c r="GK5" s="5">
        <v>0</v>
      </c>
      <c r="GL5" s="5" t="e">
        <f>AND('Full Results'!A39,"AAAAAHz/wcE=")</f>
        <v>#VALUE!</v>
      </c>
      <c r="GM5" s="5" t="e">
        <f>AND('Full Results'!B39,"AAAAAHz/wcI=")</f>
        <v>#VALUE!</v>
      </c>
      <c r="GN5" s="5" t="e">
        <f>AND('Full Results'!C39,"AAAAAHz/wcM=")</f>
        <v>#VALUE!</v>
      </c>
      <c r="GO5" s="5" t="e">
        <f>AND('Full Results'!D39,"AAAAAHz/wcQ=")</f>
        <v>#VALUE!</v>
      </c>
      <c r="GP5" s="5" t="e">
        <f>AND('Full Results'!E39,"AAAAAHz/wcU=")</f>
        <v>#VALUE!</v>
      </c>
      <c r="GQ5" s="5" t="s">
        <v>139</v>
      </c>
      <c r="GR5" s="5" t="e">
        <f>AND('Full Results'!F39,"AAAAAHz/wcc=")</f>
        <v>#VALUE!</v>
      </c>
      <c r="GS5" s="5" t="e">
        <f>AND('Full Results'!G39,"AAAAAHz/wcg=")</f>
        <v>#VALUE!</v>
      </c>
      <c r="GT5" s="5" t="e">
        <f>AND('Full Results'!H39,"AAAAAHz/wck=")</f>
        <v>#VALUE!</v>
      </c>
      <c r="GU5" s="5" t="e">
        <f>AND('Full Results'!I39,"AAAAAHz/wco=")</f>
        <v>#VALUE!</v>
      </c>
      <c r="GV5" s="5" t="e">
        <f>AND('Full Results'!J39,"AAAAAHz/wcs=")</f>
        <v>#VALUE!</v>
      </c>
      <c r="GW5" s="5" t="e">
        <f>AND('Full Results'!K39,"AAAAAHz/wcw=")</f>
        <v>#VALUE!</v>
      </c>
      <c r="GX5" s="5" t="e">
        <f>AND('Full Results'!L39,"AAAAAHz/wc0=")</f>
        <v>#VALUE!</v>
      </c>
      <c r="GY5" s="5" t="e">
        <f>AND('Full Results'!M39,"AAAAAHz/wc4=")</f>
        <v>#VALUE!</v>
      </c>
      <c r="GZ5" s="5" t="e">
        <f>AND('Full Results'!N39,"AAAAAHz/wc8=")</f>
        <v>#VALUE!</v>
      </c>
      <c r="HA5" s="5" t="e">
        <f>AND('Full Results'!O39,"AAAAAHz/wdA=")</f>
        <v>#VALUE!</v>
      </c>
      <c r="HB5" s="5" t="e">
        <f>AND('Full Results'!P39,"AAAAAHz/wdE=")</f>
        <v>#VALUE!</v>
      </c>
      <c r="HC5" s="5" t="e">
        <f>AND('Full Results'!Q39,"AAAAAHz/wdI=")</f>
        <v>#VALUE!</v>
      </c>
      <c r="HD5" s="5" t="e">
        <f>AND('Full Results'!R39,"AAAAAHz/wdM=")</f>
        <v>#VALUE!</v>
      </c>
      <c r="HE5" s="5" t="e">
        <f>AND('Full Results'!S39,"AAAAAHz/wdQ=")</f>
        <v>#VALUE!</v>
      </c>
      <c r="HF5" s="5" t="e">
        <f>AND('Full Results'!T39,"AAAAAHz/wdU=")</f>
        <v>#VALUE!</v>
      </c>
      <c r="HG5" s="5" t="e">
        <f>AND('Full Results'!U39,"AAAAAHz/wdY=")</f>
        <v>#VALUE!</v>
      </c>
      <c r="HH5" s="5" t="e">
        <f>AND('Full Results'!V39,"AAAAAHz/wdc=")</f>
        <v>#VALUE!</v>
      </c>
      <c r="HI5" s="5" t="e">
        <f>AND('Full Results'!W39,"AAAAAHz/wdg=")</f>
        <v>#VALUE!</v>
      </c>
      <c r="HJ5" s="5" t="s">
        <v>139</v>
      </c>
      <c r="HK5" s="5" t="s">
        <v>139</v>
      </c>
      <c r="HL5" s="5" t="s">
        <v>139</v>
      </c>
      <c r="HM5" s="5" t="s">
        <v>139</v>
      </c>
      <c r="HN5" s="5" t="s">
        <v>139</v>
      </c>
      <c r="HO5" s="5" t="s">
        <v>139</v>
      </c>
      <c r="HP5" s="5" t="s">
        <v>139</v>
      </c>
      <c r="HQ5" s="5">
        <v>0</v>
      </c>
      <c r="HR5" s="5" t="e">
        <f>AND('Full Results'!A40,"AAAAAHz/weE=")</f>
        <v>#VALUE!</v>
      </c>
      <c r="HS5" s="5" t="e">
        <f>AND('Full Results'!B40,"AAAAAHz/weI=")</f>
        <v>#VALUE!</v>
      </c>
      <c r="HT5" s="5" t="e">
        <f>AND('Full Results'!C40,"AAAAAHz/weM=")</f>
        <v>#VALUE!</v>
      </c>
      <c r="HU5" s="5" t="e">
        <f>AND('Full Results'!D40,"AAAAAHz/weQ=")</f>
        <v>#VALUE!</v>
      </c>
      <c r="HV5" s="5" t="e">
        <f>AND('Full Results'!E40,"AAAAAHz/weU=")</f>
        <v>#VALUE!</v>
      </c>
      <c r="HW5" s="5" t="s">
        <v>139</v>
      </c>
      <c r="HX5" s="5" t="e">
        <f>AND('Full Results'!F40,"AAAAAHz/wec=")</f>
        <v>#VALUE!</v>
      </c>
      <c r="HY5" s="5" t="e">
        <f>AND('Full Results'!G40,"AAAAAHz/weg=")</f>
        <v>#VALUE!</v>
      </c>
      <c r="HZ5" s="5" t="e">
        <f>AND('Full Results'!H40,"AAAAAHz/wek=")</f>
        <v>#VALUE!</v>
      </c>
      <c r="IA5" s="5" t="e">
        <f>AND('Full Results'!I40,"AAAAAHz/weo=")</f>
        <v>#VALUE!</v>
      </c>
      <c r="IB5" s="5" t="e">
        <f>AND('Full Results'!J40,"AAAAAHz/wes=")</f>
        <v>#VALUE!</v>
      </c>
      <c r="IC5" s="5" t="e">
        <f>AND('Full Results'!K40,"AAAAAHz/wew=")</f>
        <v>#VALUE!</v>
      </c>
      <c r="ID5" s="5" t="e">
        <f>AND('Full Results'!L40,"AAAAAHz/we0=")</f>
        <v>#VALUE!</v>
      </c>
      <c r="IE5" s="5" t="e">
        <f>AND('Full Results'!M40,"AAAAAHz/we4=")</f>
        <v>#VALUE!</v>
      </c>
      <c r="IF5" s="5" t="e">
        <f>AND('Full Results'!N40,"AAAAAHz/we8=")</f>
        <v>#VALUE!</v>
      </c>
      <c r="IG5" s="5" t="e">
        <f>AND('Full Results'!O40,"AAAAAHz/wfA=")</f>
        <v>#VALUE!</v>
      </c>
      <c r="IH5" s="5" t="e">
        <f>AND('Full Results'!P40,"AAAAAHz/wfE=")</f>
        <v>#VALUE!</v>
      </c>
      <c r="II5" s="5" t="e">
        <f>AND('Full Results'!Q40,"AAAAAHz/wfI=")</f>
        <v>#VALUE!</v>
      </c>
      <c r="IJ5" s="5" t="e">
        <f>AND('Full Results'!R40,"AAAAAHz/wfM=")</f>
        <v>#VALUE!</v>
      </c>
      <c r="IK5" s="5" t="e">
        <f>AND('Full Results'!S40,"AAAAAHz/wfQ=")</f>
        <v>#VALUE!</v>
      </c>
      <c r="IL5" s="5" t="e">
        <f>AND('Full Results'!T40,"AAAAAHz/wfU=")</f>
        <v>#VALUE!</v>
      </c>
      <c r="IM5" s="5" t="e">
        <f>AND('Full Results'!U40,"AAAAAHz/wfY=")</f>
        <v>#VALUE!</v>
      </c>
      <c r="IN5" s="5" t="e">
        <f>AND('Full Results'!V40,"AAAAAHz/wfc=")</f>
        <v>#VALUE!</v>
      </c>
      <c r="IO5" s="5" t="e">
        <f>AND('Full Results'!W40,"AAAAAHz/wfg=")</f>
        <v>#VALUE!</v>
      </c>
      <c r="IP5" s="5" t="s">
        <v>139</v>
      </c>
      <c r="IQ5" s="5" t="s">
        <v>139</v>
      </c>
      <c r="IR5" s="5" t="s">
        <v>139</v>
      </c>
      <c r="IS5" s="5" t="s">
        <v>139</v>
      </c>
      <c r="IT5" s="5" t="s">
        <v>139</v>
      </c>
      <c r="IU5" s="5" t="s">
        <v>139</v>
      </c>
      <c r="IV5" s="5" t="s">
        <v>139</v>
      </c>
    </row>
    <row r="6" spans="1:256" ht="15" customHeight="1" x14ac:dyDescent="0.2">
      <c r="A6" s="5">
        <v>0</v>
      </c>
      <c r="B6" s="5" t="e">
        <f>AND('Full Results'!A41,"AAAAAFtfPwE=")</f>
        <v>#VALUE!</v>
      </c>
      <c r="C6" s="5" t="e">
        <f>AND('Full Results'!B41,"AAAAAFtfPwI=")</f>
        <v>#VALUE!</v>
      </c>
      <c r="D6" s="5" t="e">
        <f>AND('Full Results'!C41,"AAAAAFtfPwM=")</f>
        <v>#VALUE!</v>
      </c>
      <c r="E6" s="5" t="e">
        <f>AND('Full Results'!D41,"AAAAAFtfPwQ=")</f>
        <v>#VALUE!</v>
      </c>
      <c r="F6" s="5" t="e">
        <f>AND('Full Results'!E41,"AAAAAFtfPwU=")</f>
        <v>#VALUE!</v>
      </c>
      <c r="G6" s="5" t="s">
        <v>139</v>
      </c>
      <c r="H6" s="5" t="e">
        <f>AND('Full Results'!F41,"AAAAAFtfPwc=")</f>
        <v>#VALUE!</v>
      </c>
      <c r="I6" s="5" t="e">
        <f>AND('Full Results'!G41,"AAAAAFtfPwg=")</f>
        <v>#VALUE!</v>
      </c>
      <c r="J6" s="5" t="e">
        <f>AND('Full Results'!H41,"AAAAAFtfPwk=")</f>
        <v>#VALUE!</v>
      </c>
      <c r="K6" s="5" t="e">
        <f>AND('Full Results'!I41,"AAAAAFtfPwo=")</f>
        <v>#VALUE!</v>
      </c>
      <c r="L6" s="5" t="e">
        <f>AND('Full Results'!J41,"AAAAAFtfPws=")</f>
        <v>#VALUE!</v>
      </c>
      <c r="M6" s="5" t="e">
        <f>AND('Full Results'!K41,"AAAAAFtfPww=")</f>
        <v>#VALUE!</v>
      </c>
      <c r="N6" s="5" t="e">
        <f>AND('Full Results'!L41,"AAAAAFtfPw0=")</f>
        <v>#VALUE!</v>
      </c>
      <c r="O6" s="5" t="e">
        <f>AND('Full Results'!M41,"AAAAAFtfPw4=")</f>
        <v>#VALUE!</v>
      </c>
      <c r="P6" s="5" t="e">
        <f>AND('Full Results'!N41,"AAAAAFtfPw8=")</f>
        <v>#VALUE!</v>
      </c>
      <c r="Q6" s="5" t="e">
        <f>AND('Full Results'!O41,"AAAAAFtfPxA=")</f>
        <v>#VALUE!</v>
      </c>
      <c r="R6" s="5" t="e">
        <f>AND('Full Results'!P41,"AAAAAFtfPxE=")</f>
        <v>#VALUE!</v>
      </c>
      <c r="S6" s="5" t="e">
        <f>AND('Full Results'!Q41,"AAAAAFtfPxI=")</f>
        <v>#VALUE!</v>
      </c>
      <c r="T6" s="5" t="e">
        <f>AND('Full Results'!R41,"AAAAAFtfPxM=")</f>
        <v>#VALUE!</v>
      </c>
      <c r="U6" s="5" t="e">
        <f>AND('Full Results'!S41,"AAAAAFtfPxQ=")</f>
        <v>#VALUE!</v>
      </c>
      <c r="V6" s="5" t="e">
        <f>AND('Full Results'!T41,"AAAAAFtfPxU=")</f>
        <v>#VALUE!</v>
      </c>
      <c r="W6" s="5" t="e">
        <f>AND('Full Results'!U41,"AAAAAFtfPxY=")</f>
        <v>#VALUE!</v>
      </c>
      <c r="X6" s="5" t="e">
        <f>AND('Full Results'!V41,"AAAAAFtfPxc=")</f>
        <v>#VALUE!</v>
      </c>
      <c r="Y6" s="5" t="e">
        <f>AND('Full Results'!W41,"AAAAAFtfPxg=")</f>
        <v>#VALUE!</v>
      </c>
      <c r="Z6" s="5" t="s">
        <v>139</v>
      </c>
      <c r="AA6" s="5" t="s">
        <v>139</v>
      </c>
      <c r="AB6" s="5" t="s">
        <v>139</v>
      </c>
      <c r="AC6" s="5" t="s">
        <v>139</v>
      </c>
      <c r="AD6" s="5" t="s">
        <v>139</v>
      </c>
      <c r="AE6" s="5" t="s">
        <v>139</v>
      </c>
      <c r="AF6" s="5" t="s">
        <v>139</v>
      </c>
      <c r="AG6" s="5">
        <v>0</v>
      </c>
      <c r="AH6" s="5" t="e">
        <f>AND('Full Results'!A42,"AAAAAFtfPyE=")</f>
        <v>#VALUE!</v>
      </c>
      <c r="AI6" s="5" t="e">
        <f>AND('Full Results'!B42,"AAAAAFtfPyI=")</f>
        <v>#VALUE!</v>
      </c>
      <c r="AJ6" s="5" t="e">
        <f>AND('Full Results'!C42,"AAAAAFtfPyM=")</f>
        <v>#VALUE!</v>
      </c>
      <c r="AK6" s="5" t="e">
        <f>AND('Full Results'!D42,"AAAAAFtfPyQ=")</f>
        <v>#VALUE!</v>
      </c>
      <c r="AL6" s="5" t="e">
        <f>AND('Full Results'!E42,"AAAAAFtfPyU=")</f>
        <v>#VALUE!</v>
      </c>
      <c r="AM6" s="5" t="s">
        <v>139</v>
      </c>
      <c r="AN6" s="5" t="e">
        <f>AND('Full Results'!F42,"AAAAAFtfPyc=")</f>
        <v>#VALUE!</v>
      </c>
      <c r="AO6" s="5" t="e">
        <f>AND('Full Results'!G42,"AAAAAFtfPyg=")</f>
        <v>#VALUE!</v>
      </c>
      <c r="AP6" s="5" t="e">
        <f>AND('Full Results'!H42,"AAAAAFtfPyk=")</f>
        <v>#VALUE!</v>
      </c>
      <c r="AQ6" s="5" t="e">
        <f>AND('Full Results'!I42,"AAAAAFtfPyo=")</f>
        <v>#VALUE!</v>
      </c>
      <c r="AR6" s="5" t="e">
        <f>AND('Full Results'!J42,"AAAAAFtfPys=")</f>
        <v>#VALUE!</v>
      </c>
      <c r="AS6" s="5" t="e">
        <f>AND('Full Results'!K42,"AAAAAFtfPyw=")</f>
        <v>#VALUE!</v>
      </c>
      <c r="AT6" s="5" t="e">
        <f>AND('Full Results'!L42,"AAAAAFtfPy0=")</f>
        <v>#VALUE!</v>
      </c>
      <c r="AU6" s="5" t="e">
        <f>AND('Full Results'!M42,"AAAAAFtfPy4=")</f>
        <v>#VALUE!</v>
      </c>
      <c r="AV6" s="5" t="e">
        <f>AND('Full Results'!N42,"AAAAAFtfPy8=")</f>
        <v>#VALUE!</v>
      </c>
      <c r="AW6" s="5" t="e">
        <f>AND('Full Results'!O42,"AAAAAFtfPzA=")</f>
        <v>#VALUE!</v>
      </c>
      <c r="AX6" s="5" t="e">
        <f>AND('Full Results'!P42,"AAAAAFtfPzE=")</f>
        <v>#VALUE!</v>
      </c>
      <c r="AY6" s="5" t="e">
        <f>AND('Full Results'!Q42,"AAAAAFtfPzI=")</f>
        <v>#VALUE!</v>
      </c>
      <c r="AZ6" s="5" t="e">
        <f>AND('Full Results'!R42,"AAAAAFtfPzM=")</f>
        <v>#VALUE!</v>
      </c>
      <c r="BA6" s="5" t="e">
        <f>AND('Full Results'!S42,"AAAAAFtfPzQ=")</f>
        <v>#VALUE!</v>
      </c>
      <c r="BB6" s="5" t="e">
        <f>AND('Full Results'!T42,"AAAAAFtfPzU=")</f>
        <v>#VALUE!</v>
      </c>
      <c r="BC6" s="5" t="e">
        <f>AND('Full Results'!U42,"AAAAAFtfPzY=")</f>
        <v>#VALUE!</v>
      </c>
      <c r="BD6" s="5" t="e">
        <f>AND('Full Results'!V42,"AAAAAFtfPzc=")</f>
        <v>#VALUE!</v>
      </c>
      <c r="BE6" s="5" t="e">
        <f>AND('Full Results'!W42,"AAAAAFtfPzg=")</f>
        <v>#VALUE!</v>
      </c>
      <c r="BF6" s="5" t="s">
        <v>139</v>
      </c>
      <c r="BG6" s="5" t="s">
        <v>139</v>
      </c>
      <c r="BH6" s="5" t="s">
        <v>139</v>
      </c>
      <c r="BI6" s="5" t="s">
        <v>139</v>
      </c>
      <c r="BJ6" s="5" t="s">
        <v>139</v>
      </c>
      <c r="BK6" s="5" t="s">
        <v>139</v>
      </c>
      <c r="BL6" s="5" t="s">
        <v>139</v>
      </c>
      <c r="BM6" s="5">
        <v>0</v>
      </c>
      <c r="BN6" s="5" t="e">
        <f>AND('Full Results'!A43,"AAAAAFtfP0E=")</f>
        <v>#VALUE!</v>
      </c>
      <c r="BO6" s="5" t="e">
        <f>AND('Full Results'!B43,"AAAAAFtfP0I=")</f>
        <v>#VALUE!</v>
      </c>
      <c r="BP6" s="5" t="e">
        <f>AND('Full Results'!C43,"AAAAAFtfP0M=")</f>
        <v>#VALUE!</v>
      </c>
      <c r="BQ6" s="5" t="e">
        <f>AND('Full Results'!D43,"AAAAAFtfP0Q=")</f>
        <v>#VALUE!</v>
      </c>
      <c r="BR6" s="5" t="e">
        <f>AND('Full Results'!E43,"AAAAAFtfP0U=")</f>
        <v>#VALUE!</v>
      </c>
      <c r="BS6" s="5" t="s">
        <v>139</v>
      </c>
      <c r="BT6" s="5" t="e">
        <f>AND('Full Results'!F43,"AAAAAFtfP0c=")</f>
        <v>#VALUE!</v>
      </c>
      <c r="BU6" s="5" t="e">
        <f>AND('Full Results'!G43,"AAAAAFtfP0g=")</f>
        <v>#VALUE!</v>
      </c>
      <c r="BV6" s="5" t="e">
        <f>AND('Full Results'!H43,"AAAAAFtfP0k=")</f>
        <v>#VALUE!</v>
      </c>
      <c r="BW6" s="5" t="e">
        <f>AND('Full Results'!I43,"AAAAAFtfP0o=")</f>
        <v>#VALUE!</v>
      </c>
      <c r="BX6" s="5" t="e">
        <f>AND('Full Results'!J43,"AAAAAFtfP0s=")</f>
        <v>#VALUE!</v>
      </c>
      <c r="BY6" s="5" t="e">
        <f>AND('Full Results'!K43,"AAAAAFtfP0w=")</f>
        <v>#VALUE!</v>
      </c>
      <c r="BZ6" s="5" t="e">
        <f>AND('Full Results'!L43,"AAAAAFtfP00=")</f>
        <v>#VALUE!</v>
      </c>
      <c r="CA6" s="5" t="e">
        <f>AND('Full Results'!M43,"AAAAAFtfP04=")</f>
        <v>#VALUE!</v>
      </c>
      <c r="CB6" s="5" t="e">
        <f>AND('Full Results'!N43,"AAAAAFtfP08=")</f>
        <v>#VALUE!</v>
      </c>
      <c r="CC6" s="5" t="e">
        <f>AND('Full Results'!O43,"AAAAAFtfP1A=")</f>
        <v>#VALUE!</v>
      </c>
      <c r="CD6" s="5" t="e">
        <f>AND('Full Results'!P43,"AAAAAFtfP1E=")</f>
        <v>#VALUE!</v>
      </c>
      <c r="CE6" s="5" t="e">
        <f>AND('Full Results'!Q43,"AAAAAFtfP1I=")</f>
        <v>#VALUE!</v>
      </c>
      <c r="CF6" s="5" t="e">
        <f>AND('Full Results'!R43,"AAAAAFtfP1M=")</f>
        <v>#VALUE!</v>
      </c>
      <c r="CG6" s="5" t="e">
        <f>AND('Full Results'!S43,"AAAAAFtfP1Q=")</f>
        <v>#VALUE!</v>
      </c>
      <c r="CH6" s="5" t="e">
        <f>AND('Full Results'!T43,"AAAAAFtfP1U=")</f>
        <v>#VALUE!</v>
      </c>
      <c r="CI6" s="5" t="e">
        <f>AND('Full Results'!U43,"AAAAAFtfP1Y=")</f>
        <v>#VALUE!</v>
      </c>
      <c r="CJ6" s="5" t="e">
        <f>AND('Full Results'!V43,"AAAAAFtfP1c=")</f>
        <v>#VALUE!</v>
      </c>
      <c r="CK6" s="5" t="e">
        <f>AND('Full Results'!W43,"AAAAAFtfP1g=")</f>
        <v>#VALUE!</v>
      </c>
      <c r="CL6" s="5" t="s">
        <v>139</v>
      </c>
      <c r="CM6" s="5" t="s">
        <v>139</v>
      </c>
      <c r="CN6" s="5" t="s">
        <v>139</v>
      </c>
      <c r="CO6" s="5" t="s">
        <v>139</v>
      </c>
      <c r="CP6" s="5" t="s">
        <v>139</v>
      </c>
      <c r="CQ6" s="5" t="s">
        <v>139</v>
      </c>
      <c r="CR6" s="5" t="s">
        <v>139</v>
      </c>
      <c r="CS6" s="5">
        <v>0</v>
      </c>
      <c r="CT6" s="5" t="e">
        <f>AND('Full Results'!A44,"AAAAAFtfP2E=")</f>
        <v>#VALUE!</v>
      </c>
      <c r="CU6" s="5" t="e">
        <f>AND('Full Results'!B44,"AAAAAFtfP2I=")</f>
        <v>#VALUE!</v>
      </c>
      <c r="CV6" s="5" t="e">
        <f>AND('Full Results'!C44,"AAAAAFtfP2M=")</f>
        <v>#VALUE!</v>
      </c>
      <c r="CW6" s="5" t="e">
        <f>AND('Full Results'!D44,"AAAAAFtfP2Q=")</f>
        <v>#VALUE!</v>
      </c>
      <c r="CX6" s="5" t="e">
        <f>AND('Full Results'!E44,"AAAAAFtfP2U=")</f>
        <v>#VALUE!</v>
      </c>
      <c r="CY6" s="5" t="s">
        <v>139</v>
      </c>
      <c r="CZ6" s="5" t="e">
        <f>AND('Full Results'!F44,"AAAAAFtfP2c=")</f>
        <v>#VALUE!</v>
      </c>
      <c r="DA6" s="5" t="e">
        <f>AND('Full Results'!G44,"AAAAAFtfP2g=")</f>
        <v>#VALUE!</v>
      </c>
      <c r="DB6" s="5" t="e">
        <f>AND('Full Results'!H44,"AAAAAFtfP2k=")</f>
        <v>#VALUE!</v>
      </c>
      <c r="DC6" s="5" t="e">
        <f>AND('Full Results'!I44,"AAAAAFtfP2o=")</f>
        <v>#VALUE!</v>
      </c>
      <c r="DD6" s="5" t="e">
        <f>AND('Full Results'!J44,"AAAAAFtfP2s=")</f>
        <v>#VALUE!</v>
      </c>
      <c r="DE6" s="5" t="e">
        <f>AND('Full Results'!K44,"AAAAAFtfP2w=")</f>
        <v>#VALUE!</v>
      </c>
      <c r="DF6" s="5" t="e">
        <f>AND('Full Results'!L44,"AAAAAFtfP20=")</f>
        <v>#VALUE!</v>
      </c>
      <c r="DG6" s="5" t="e">
        <f>AND('Full Results'!M44,"AAAAAFtfP24=")</f>
        <v>#VALUE!</v>
      </c>
      <c r="DH6" s="5" t="e">
        <f>AND('Full Results'!N44,"AAAAAFtfP28=")</f>
        <v>#VALUE!</v>
      </c>
      <c r="DI6" s="5" t="e">
        <f>AND('Full Results'!O44,"AAAAAFtfP3A=")</f>
        <v>#VALUE!</v>
      </c>
      <c r="DJ6" s="5" t="e">
        <f>AND('Full Results'!P44,"AAAAAFtfP3E=")</f>
        <v>#VALUE!</v>
      </c>
      <c r="DK6" s="5" t="e">
        <f>AND('Full Results'!Q44,"AAAAAFtfP3I=")</f>
        <v>#VALUE!</v>
      </c>
      <c r="DL6" s="5" t="e">
        <f>AND('Full Results'!R44,"AAAAAFtfP3M=")</f>
        <v>#VALUE!</v>
      </c>
      <c r="DM6" s="5" t="e">
        <f>AND('Full Results'!S44,"AAAAAFtfP3Q=")</f>
        <v>#VALUE!</v>
      </c>
      <c r="DN6" s="5" t="e">
        <f>AND('Full Results'!T44,"AAAAAFtfP3U=")</f>
        <v>#VALUE!</v>
      </c>
      <c r="DO6" s="5" t="e">
        <f>AND('Full Results'!U44,"AAAAAFtfP3Y=")</f>
        <v>#VALUE!</v>
      </c>
      <c r="DP6" s="5" t="e">
        <f>AND('Full Results'!V44,"AAAAAFtfP3c=")</f>
        <v>#VALUE!</v>
      </c>
      <c r="DQ6" s="5" t="e">
        <f>AND('Full Results'!W44,"AAAAAFtfP3g=")</f>
        <v>#VALUE!</v>
      </c>
      <c r="DR6" s="5" t="s">
        <v>139</v>
      </c>
      <c r="DS6" s="5" t="s">
        <v>139</v>
      </c>
      <c r="DT6" s="5" t="s">
        <v>139</v>
      </c>
      <c r="DU6" s="5" t="s">
        <v>139</v>
      </c>
      <c r="DV6" s="5" t="s">
        <v>139</v>
      </c>
      <c r="DW6" s="5" t="s">
        <v>139</v>
      </c>
      <c r="DX6" s="5" t="s">
        <v>139</v>
      </c>
      <c r="DY6" s="5">
        <v>0</v>
      </c>
      <c r="DZ6" s="5" t="e">
        <f>AND('Full Results'!A45,"AAAAAFtfP4E=")</f>
        <v>#VALUE!</v>
      </c>
      <c r="EA6" s="5" t="e">
        <f>AND('Full Results'!B45,"AAAAAFtfP4I=")</f>
        <v>#VALUE!</v>
      </c>
      <c r="EB6" s="5" t="e">
        <f>AND('Full Results'!C45,"AAAAAFtfP4M=")</f>
        <v>#VALUE!</v>
      </c>
      <c r="EC6" s="5" t="e">
        <f>AND('Full Results'!D45,"AAAAAFtfP4Q=")</f>
        <v>#VALUE!</v>
      </c>
      <c r="ED6" s="5" t="e">
        <f>AND('Full Results'!E45,"AAAAAFtfP4U=")</f>
        <v>#VALUE!</v>
      </c>
      <c r="EE6" s="5" t="s">
        <v>139</v>
      </c>
      <c r="EF6" s="5" t="e">
        <f>AND('Full Results'!F45,"AAAAAFtfP4c=")</f>
        <v>#VALUE!</v>
      </c>
      <c r="EG6" s="5" t="e">
        <f>AND('Full Results'!G45,"AAAAAFtfP4g=")</f>
        <v>#VALUE!</v>
      </c>
      <c r="EH6" s="5" t="e">
        <f>AND('Full Results'!H45,"AAAAAFtfP4k=")</f>
        <v>#VALUE!</v>
      </c>
      <c r="EI6" s="5" t="e">
        <f>AND('Full Results'!I45,"AAAAAFtfP4o=")</f>
        <v>#VALUE!</v>
      </c>
      <c r="EJ6" s="5" t="e">
        <f>AND('Full Results'!J45,"AAAAAFtfP4s=")</f>
        <v>#VALUE!</v>
      </c>
      <c r="EK6" s="5" t="e">
        <f>AND('Full Results'!K45,"AAAAAFtfP4w=")</f>
        <v>#VALUE!</v>
      </c>
      <c r="EL6" s="5" t="e">
        <f>AND('Full Results'!L45,"AAAAAFtfP40=")</f>
        <v>#VALUE!</v>
      </c>
      <c r="EM6" s="5" t="e">
        <f>AND('Full Results'!M45,"AAAAAFtfP44=")</f>
        <v>#VALUE!</v>
      </c>
      <c r="EN6" s="5" t="e">
        <f>AND('Full Results'!N45,"AAAAAFtfP48=")</f>
        <v>#VALUE!</v>
      </c>
      <c r="EO6" s="5" t="e">
        <f>AND('Full Results'!O45,"AAAAAFtfP5A=")</f>
        <v>#VALUE!</v>
      </c>
      <c r="EP6" s="5" t="e">
        <f>AND('Full Results'!P45,"AAAAAFtfP5E=")</f>
        <v>#VALUE!</v>
      </c>
      <c r="EQ6" s="5" t="e">
        <f>AND('Full Results'!Q45,"AAAAAFtfP5I=")</f>
        <v>#VALUE!</v>
      </c>
      <c r="ER6" s="5" t="e">
        <f>AND('Full Results'!R45,"AAAAAFtfP5M=")</f>
        <v>#VALUE!</v>
      </c>
      <c r="ES6" s="5" t="e">
        <f>AND('Full Results'!S45,"AAAAAFtfP5Q=")</f>
        <v>#VALUE!</v>
      </c>
      <c r="ET6" s="5" t="e">
        <f>AND('Full Results'!T45,"AAAAAFtfP5U=")</f>
        <v>#VALUE!</v>
      </c>
      <c r="EU6" s="5" t="e">
        <f>AND('Full Results'!U45,"AAAAAFtfP5Y=")</f>
        <v>#VALUE!</v>
      </c>
      <c r="EV6" s="5" t="e">
        <f>AND('Full Results'!V45,"AAAAAFtfP5c=")</f>
        <v>#VALUE!</v>
      </c>
      <c r="EW6" s="5" t="e">
        <f>AND('Full Results'!W45,"AAAAAFtfP5g=")</f>
        <v>#VALUE!</v>
      </c>
      <c r="EX6" s="5" t="s">
        <v>139</v>
      </c>
      <c r="EY6" s="5" t="s">
        <v>139</v>
      </c>
      <c r="EZ6" s="5" t="s">
        <v>139</v>
      </c>
      <c r="FA6" s="5" t="s">
        <v>139</v>
      </c>
      <c r="FB6" s="5" t="s">
        <v>139</v>
      </c>
      <c r="FC6" s="5" t="s">
        <v>139</v>
      </c>
      <c r="FD6" s="5" t="s">
        <v>139</v>
      </c>
      <c r="FE6" s="5">
        <v>0</v>
      </c>
      <c r="FF6" s="5" t="e">
        <f>AND('Full Results'!A46,"AAAAAFtfP6E=")</f>
        <v>#VALUE!</v>
      </c>
      <c r="FG6" s="5" t="e">
        <f>AND('Full Results'!B46,"AAAAAFtfP6I=")</f>
        <v>#VALUE!</v>
      </c>
      <c r="FH6" s="5" t="e">
        <f>AND('Full Results'!C46,"AAAAAFtfP6M=")</f>
        <v>#VALUE!</v>
      </c>
      <c r="FI6" s="5" t="e">
        <f>AND('Full Results'!D46,"AAAAAFtfP6Q=")</f>
        <v>#VALUE!</v>
      </c>
      <c r="FJ6" s="5" t="e">
        <f>AND('Full Results'!E46,"AAAAAFtfP6U=")</f>
        <v>#VALUE!</v>
      </c>
      <c r="FK6" s="5" t="s">
        <v>139</v>
      </c>
      <c r="FL6" s="5" t="e">
        <f>AND('Full Results'!F46,"AAAAAFtfP6c=")</f>
        <v>#VALUE!</v>
      </c>
      <c r="FM6" s="5" t="e">
        <f>AND('Full Results'!G46,"AAAAAFtfP6g=")</f>
        <v>#VALUE!</v>
      </c>
      <c r="FN6" s="5" t="e">
        <f>AND('Full Results'!H46,"AAAAAFtfP6k=")</f>
        <v>#VALUE!</v>
      </c>
      <c r="FO6" s="5" t="e">
        <f>AND('Full Results'!I46,"AAAAAFtfP6o=")</f>
        <v>#VALUE!</v>
      </c>
      <c r="FP6" s="5" t="e">
        <f>AND('Full Results'!J46,"AAAAAFtfP6s=")</f>
        <v>#VALUE!</v>
      </c>
      <c r="FQ6" s="5" t="e">
        <f>AND('Full Results'!K46,"AAAAAFtfP6w=")</f>
        <v>#VALUE!</v>
      </c>
      <c r="FR6" s="5" t="e">
        <f>AND('Full Results'!L46,"AAAAAFtfP60=")</f>
        <v>#VALUE!</v>
      </c>
      <c r="FS6" s="5" t="e">
        <f>AND('Full Results'!M46,"AAAAAFtfP64=")</f>
        <v>#VALUE!</v>
      </c>
      <c r="FT6" s="5" t="e">
        <f>AND('Full Results'!N46,"AAAAAFtfP68=")</f>
        <v>#VALUE!</v>
      </c>
      <c r="FU6" s="5" t="e">
        <f>AND('Full Results'!O46,"AAAAAFtfP7A=")</f>
        <v>#VALUE!</v>
      </c>
      <c r="FV6" s="5" t="e">
        <f>AND('Full Results'!P46,"AAAAAFtfP7E=")</f>
        <v>#VALUE!</v>
      </c>
      <c r="FW6" s="5" t="e">
        <f>AND('Full Results'!Q46,"AAAAAFtfP7I=")</f>
        <v>#VALUE!</v>
      </c>
      <c r="FX6" s="5" t="e">
        <f>AND('Full Results'!R46,"AAAAAFtfP7M=")</f>
        <v>#VALUE!</v>
      </c>
      <c r="FY6" s="5" t="e">
        <f>AND('Full Results'!S46,"AAAAAFtfP7Q=")</f>
        <v>#VALUE!</v>
      </c>
      <c r="FZ6" s="5" t="e">
        <f>AND('Full Results'!T46,"AAAAAFtfP7U=")</f>
        <v>#VALUE!</v>
      </c>
      <c r="GA6" s="5" t="e">
        <f>AND('Full Results'!U46,"AAAAAFtfP7Y=")</f>
        <v>#VALUE!</v>
      </c>
      <c r="GB6" s="5" t="e">
        <f>AND('Full Results'!V46,"AAAAAFtfP7c=")</f>
        <v>#VALUE!</v>
      </c>
      <c r="GC6" s="5" t="e">
        <f>AND('Full Results'!W46,"AAAAAFtfP7g=")</f>
        <v>#VALUE!</v>
      </c>
      <c r="GD6" s="5" t="s">
        <v>139</v>
      </c>
      <c r="GE6" s="5" t="s">
        <v>139</v>
      </c>
      <c r="GF6" s="5" t="s">
        <v>139</v>
      </c>
      <c r="GG6" s="5" t="s">
        <v>139</v>
      </c>
      <c r="GH6" s="5" t="s">
        <v>139</v>
      </c>
      <c r="GI6" s="5" t="s">
        <v>139</v>
      </c>
      <c r="GJ6" s="5" t="s">
        <v>139</v>
      </c>
      <c r="GK6" s="5">
        <v>0</v>
      </c>
      <c r="GL6" s="5" t="e">
        <f>AND('Full Results'!A47,"AAAAAFtfP8E=")</f>
        <v>#VALUE!</v>
      </c>
      <c r="GM6" s="5" t="e">
        <f>AND('Full Results'!B47,"AAAAAFtfP8I=")</f>
        <v>#VALUE!</v>
      </c>
      <c r="GN6" s="5" t="e">
        <f>AND('Full Results'!C47,"AAAAAFtfP8M=")</f>
        <v>#VALUE!</v>
      </c>
      <c r="GO6" s="5" t="e">
        <f>AND('Full Results'!D47,"AAAAAFtfP8Q=")</f>
        <v>#VALUE!</v>
      </c>
      <c r="GP6" s="5" t="e">
        <f>AND('Full Results'!E47,"AAAAAFtfP8U=")</f>
        <v>#VALUE!</v>
      </c>
      <c r="GQ6" s="5" t="s">
        <v>139</v>
      </c>
      <c r="GR6" s="5" t="e">
        <f>AND('Full Results'!F47,"AAAAAFtfP8c=")</f>
        <v>#VALUE!</v>
      </c>
      <c r="GS6" s="5" t="e">
        <f>AND('Full Results'!G47,"AAAAAFtfP8g=")</f>
        <v>#VALUE!</v>
      </c>
      <c r="GT6" s="5" t="e">
        <f>AND('Full Results'!H47,"AAAAAFtfP8k=")</f>
        <v>#VALUE!</v>
      </c>
      <c r="GU6" s="5" t="e">
        <f>AND('Full Results'!I47,"AAAAAFtfP8o=")</f>
        <v>#VALUE!</v>
      </c>
      <c r="GV6" s="5" t="e">
        <f>AND('Full Results'!J47,"AAAAAFtfP8s=")</f>
        <v>#VALUE!</v>
      </c>
      <c r="GW6" s="5" t="e">
        <f>AND('Full Results'!K47,"AAAAAFtfP8w=")</f>
        <v>#VALUE!</v>
      </c>
      <c r="GX6" s="5" t="e">
        <f>AND('Full Results'!L47,"AAAAAFtfP80=")</f>
        <v>#VALUE!</v>
      </c>
      <c r="GY6" s="5" t="e">
        <f>AND('Full Results'!M47,"AAAAAFtfP84=")</f>
        <v>#VALUE!</v>
      </c>
      <c r="GZ6" s="5" t="e">
        <f>AND('Full Results'!N47,"AAAAAFtfP88=")</f>
        <v>#VALUE!</v>
      </c>
      <c r="HA6" s="5" t="e">
        <f>AND('Full Results'!O47,"AAAAAFtfP9A=")</f>
        <v>#VALUE!</v>
      </c>
      <c r="HB6" s="5" t="e">
        <f>AND('Full Results'!P47,"AAAAAFtfP9E=")</f>
        <v>#VALUE!</v>
      </c>
      <c r="HC6" s="5" t="e">
        <f>AND('Full Results'!Q47,"AAAAAFtfP9I=")</f>
        <v>#VALUE!</v>
      </c>
      <c r="HD6" s="5" t="e">
        <f>AND('Full Results'!R47,"AAAAAFtfP9M=")</f>
        <v>#VALUE!</v>
      </c>
      <c r="HE6" s="5" t="e">
        <f>AND('Full Results'!S47,"AAAAAFtfP9Q=")</f>
        <v>#VALUE!</v>
      </c>
      <c r="HF6" s="5" t="e">
        <f>AND('Full Results'!T47,"AAAAAFtfP9U=")</f>
        <v>#VALUE!</v>
      </c>
      <c r="HG6" s="5" t="e">
        <f>AND('Full Results'!U47,"AAAAAFtfP9Y=")</f>
        <v>#VALUE!</v>
      </c>
      <c r="HH6" s="5" t="e">
        <f>AND('Full Results'!V47,"AAAAAFtfP9c=")</f>
        <v>#VALUE!</v>
      </c>
      <c r="HI6" s="5" t="e">
        <f>AND('Full Results'!W47,"AAAAAFtfP9g=")</f>
        <v>#VALUE!</v>
      </c>
      <c r="HJ6" s="5" t="s">
        <v>139</v>
      </c>
      <c r="HK6" s="5" t="s">
        <v>139</v>
      </c>
      <c r="HL6" s="5" t="s">
        <v>139</v>
      </c>
      <c r="HM6" s="5" t="s">
        <v>139</v>
      </c>
      <c r="HN6" s="5" t="s">
        <v>139</v>
      </c>
      <c r="HO6" s="5" t="s">
        <v>139</v>
      </c>
      <c r="HP6" s="5" t="s">
        <v>139</v>
      </c>
      <c r="HQ6" s="5">
        <v>0</v>
      </c>
      <c r="HR6" s="5" t="e">
        <f>AND('Full Results'!A48,"AAAAAFtfP+E=")</f>
        <v>#VALUE!</v>
      </c>
      <c r="HS6" s="5" t="e">
        <f>AND('Full Results'!B48,"AAAAAFtfP+I=")</f>
        <v>#VALUE!</v>
      </c>
      <c r="HT6" s="5" t="e">
        <f>AND('Full Results'!C48,"AAAAAFtfP+M=")</f>
        <v>#VALUE!</v>
      </c>
      <c r="HU6" s="5" t="e">
        <f>AND('Full Results'!D48,"AAAAAFtfP+Q=")</f>
        <v>#VALUE!</v>
      </c>
      <c r="HV6" s="5" t="e">
        <f>AND('Full Results'!E48,"AAAAAFtfP+U=")</f>
        <v>#VALUE!</v>
      </c>
      <c r="HW6" s="5" t="s">
        <v>139</v>
      </c>
      <c r="HX6" s="5" t="e">
        <f>AND('Full Results'!F48,"AAAAAFtfP+c=")</f>
        <v>#VALUE!</v>
      </c>
      <c r="HY6" s="5" t="e">
        <f>AND('Full Results'!G48,"AAAAAFtfP+g=")</f>
        <v>#VALUE!</v>
      </c>
      <c r="HZ6" s="5" t="e">
        <f>AND('Full Results'!H48,"AAAAAFtfP+k=")</f>
        <v>#VALUE!</v>
      </c>
      <c r="IA6" s="5" t="e">
        <f>AND('Full Results'!I48,"AAAAAFtfP+o=")</f>
        <v>#VALUE!</v>
      </c>
      <c r="IB6" s="5" t="e">
        <f>AND('Full Results'!J48,"AAAAAFtfP+s=")</f>
        <v>#VALUE!</v>
      </c>
      <c r="IC6" s="5" t="e">
        <f>AND('Full Results'!K48,"AAAAAFtfP+w=")</f>
        <v>#VALUE!</v>
      </c>
      <c r="ID6" s="5" t="e">
        <f>AND('Full Results'!L48,"AAAAAFtfP+0=")</f>
        <v>#VALUE!</v>
      </c>
      <c r="IE6" s="5" t="e">
        <f>AND('Full Results'!M48,"AAAAAFtfP+4=")</f>
        <v>#VALUE!</v>
      </c>
      <c r="IF6" s="5" t="e">
        <f>AND('Full Results'!N48,"AAAAAFtfP+8=")</f>
        <v>#VALUE!</v>
      </c>
      <c r="IG6" s="5" t="e">
        <f>AND('Full Results'!O48,"AAAAAFtfP/A=")</f>
        <v>#VALUE!</v>
      </c>
      <c r="IH6" s="5" t="e">
        <f>AND('Full Results'!P48,"AAAAAFtfP/E=")</f>
        <v>#VALUE!</v>
      </c>
      <c r="II6" s="5" t="e">
        <f>AND('Full Results'!Q48,"AAAAAFtfP/I=")</f>
        <v>#VALUE!</v>
      </c>
      <c r="IJ6" s="5" t="e">
        <f>AND('Full Results'!R48,"AAAAAFtfP/M=")</f>
        <v>#VALUE!</v>
      </c>
      <c r="IK6" s="5" t="e">
        <f>AND('Full Results'!S48,"AAAAAFtfP/Q=")</f>
        <v>#VALUE!</v>
      </c>
      <c r="IL6" s="5" t="e">
        <f>AND('Full Results'!T48,"AAAAAFtfP/U=")</f>
        <v>#VALUE!</v>
      </c>
      <c r="IM6" s="5" t="e">
        <f>AND('Full Results'!U48,"AAAAAFtfP/Y=")</f>
        <v>#VALUE!</v>
      </c>
      <c r="IN6" s="5" t="e">
        <f>AND('Full Results'!V48,"AAAAAFtfP/c=")</f>
        <v>#VALUE!</v>
      </c>
      <c r="IO6" s="5" t="e">
        <f>AND('Full Results'!W48,"AAAAAFtfP/g=")</f>
        <v>#VALUE!</v>
      </c>
      <c r="IP6" s="5" t="s">
        <v>139</v>
      </c>
      <c r="IQ6" s="5" t="s">
        <v>139</v>
      </c>
      <c r="IR6" s="5" t="s">
        <v>139</v>
      </c>
      <c r="IS6" s="5" t="s">
        <v>139</v>
      </c>
      <c r="IT6" s="5" t="s">
        <v>139</v>
      </c>
      <c r="IU6" s="5" t="s">
        <v>139</v>
      </c>
      <c r="IV6" s="5" t="s">
        <v>139</v>
      </c>
    </row>
    <row r="7" spans="1:256" ht="15" customHeight="1" x14ac:dyDescent="0.2">
      <c r="A7" s="5" t="s">
        <v>140</v>
      </c>
      <c r="B7" s="5" t="e">
        <f>AND('Full Results'!A49,"AAAAAHv/8gE=")</f>
        <v>#VALUE!</v>
      </c>
      <c r="C7" s="5" t="e">
        <f>AND('Full Results'!B49,"AAAAAHv/8gI=")</f>
        <v>#VALUE!</v>
      </c>
      <c r="D7" s="5" t="e">
        <f>AND('Full Results'!C49,"AAAAAHv/8gM=")</f>
        <v>#VALUE!</v>
      </c>
      <c r="E7" s="5" t="e">
        <f>AND('Full Results'!D49,"AAAAAHv/8gQ=")</f>
        <v>#VALUE!</v>
      </c>
      <c r="F7" s="5" t="e">
        <f>AND('Full Results'!E49,"AAAAAHv/8gU=")</f>
        <v>#VALUE!</v>
      </c>
      <c r="G7" s="5" t="s">
        <v>139</v>
      </c>
      <c r="H7" s="5" t="e">
        <f>AND('Full Results'!F49,"AAAAAHv/8gc=")</f>
        <v>#VALUE!</v>
      </c>
      <c r="I7" s="5" t="e">
        <f>AND('Full Results'!G49,"AAAAAHv/8gg=")</f>
        <v>#VALUE!</v>
      </c>
      <c r="J7" s="5" t="e">
        <f>AND('Full Results'!H49,"AAAAAHv/8gk=")</f>
        <v>#VALUE!</v>
      </c>
      <c r="K7" s="5" t="e">
        <f>AND('Full Results'!I49,"AAAAAHv/8go=")</f>
        <v>#VALUE!</v>
      </c>
      <c r="L7" s="5" t="e">
        <f>AND('Full Results'!J49,"AAAAAHv/8gs=")</f>
        <v>#VALUE!</v>
      </c>
      <c r="M7" s="5" t="e">
        <f>AND('Full Results'!K49,"AAAAAHv/8gw=")</f>
        <v>#VALUE!</v>
      </c>
      <c r="N7" s="5" t="e">
        <f>AND('Full Results'!L49,"AAAAAHv/8g0=")</f>
        <v>#VALUE!</v>
      </c>
      <c r="O7" s="5" t="e">
        <f>AND('Full Results'!M49,"AAAAAHv/8g4=")</f>
        <v>#VALUE!</v>
      </c>
      <c r="P7" s="5" t="e">
        <f>AND('Full Results'!N49,"AAAAAHv/8g8=")</f>
        <v>#VALUE!</v>
      </c>
      <c r="Q7" s="5" t="e">
        <f>AND('Full Results'!O49,"AAAAAHv/8hA=")</f>
        <v>#VALUE!</v>
      </c>
      <c r="R7" s="5" t="e">
        <f>AND('Full Results'!P49,"AAAAAHv/8hE=")</f>
        <v>#VALUE!</v>
      </c>
      <c r="S7" s="5" t="e">
        <f>AND('Full Results'!Q49,"AAAAAHv/8hI=")</f>
        <v>#VALUE!</v>
      </c>
      <c r="T7" s="5" t="e">
        <f>AND('Full Results'!R49,"AAAAAHv/8hM=")</f>
        <v>#VALUE!</v>
      </c>
      <c r="U7" s="5" t="e">
        <f>AND('Full Results'!S49,"AAAAAHv/8hQ=")</f>
        <v>#VALUE!</v>
      </c>
      <c r="V7" s="5" t="e">
        <f>AND('Full Results'!T49,"AAAAAHv/8hU=")</f>
        <v>#VALUE!</v>
      </c>
      <c r="W7" s="5" t="e">
        <f>AND('Full Results'!U49,"AAAAAHv/8hY=")</f>
        <v>#VALUE!</v>
      </c>
      <c r="X7" s="5" t="e">
        <f>AND('Full Results'!V49,"AAAAAHv/8hc=")</f>
        <v>#VALUE!</v>
      </c>
      <c r="Y7" s="5" t="e">
        <f>AND('Full Results'!W49,"AAAAAHv/8hg=")</f>
        <v>#VALUE!</v>
      </c>
      <c r="Z7" s="5" t="s">
        <v>139</v>
      </c>
      <c r="AA7" s="5" t="s">
        <v>139</v>
      </c>
      <c r="AB7" s="5" t="s">
        <v>139</v>
      </c>
      <c r="AC7" s="5" t="s">
        <v>139</v>
      </c>
      <c r="AD7" s="5" t="s">
        <v>139</v>
      </c>
      <c r="AE7" s="5" t="s">
        <v>139</v>
      </c>
      <c r="AF7" s="5" t="s">
        <v>139</v>
      </c>
      <c r="AG7" s="5">
        <v>0</v>
      </c>
      <c r="AH7" s="5" t="e">
        <f>AND('Full Results'!A50,"AAAAAHv/8iE=")</f>
        <v>#VALUE!</v>
      </c>
      <c r="AI7" s="5" t="e">
        <f>AND('Full Results'!B50,"AAAAAHv/8iI=")</f>
        <v>#VALUE!</v>
      </c>
      <c r="AJ7" s="5" t="e">
        <f>AND('Full Results'!C50,"AAAAAHv/8iM=")</f>
        <v>#VALUE!</v>
      </c>
      <c r="AK7" s="5" t="e">
        <f>AND('Full Results'!D50,"AAAAAHv/8iQ=")</f>
        <v>#VALUE!</v>
      </c>
      <c r="AL7" s="5" t="e">
        <f>AND('Full Results'!E50,"AAAAAHv/8iU=")</f>
        <v>#VALUE!</v>
      </c>
      <c r="AM7" s="5" t="s">
        <v>139</v>
      </c>
      <c r="AN7" s="5" t="e">
        <f>AND('Full Results'!F50,"AAAAAHv/8ic=")</f>
        <v>#VALUE!</v>
      </c>
      <c r="AO7" s="5" t="e">
        <f>AND('Full Results'!G50,"AAAAAHv/8ig=")</f>
        <v>#VALUE!</v>
      </c>
      <c r="AP7" s="5" t="e">
        <f>AND('Full Results'!H50,"AAAAAHv/8ik=")</f>
        <v>#VALUE!</v>
      </c>
      <c r="AQ7" s="5" t="e">
        <f>AND('Full Results'!I50,"AAAAAHv/8io=")</f>
        <v>#VALUE!</v>
      </c>
      <c r="AR7" s="5" t="e">
        <f>AND('Full Results'!J50,"AAAAAHv/8is=")</f>
        <v>#VALUE!</v>
      </c>
      <c r="AS7" s="5" t="e">
        <f>AND('Full Results'!K50,"AAAAAHv/8iw=")</f>
        <v>#VALUE!</v>
      </c>
      <c r="AT7" s="5" t="e">
        <f>AND('Full Results'!L50,"AAAAAHv/8i0=")</f>
        <v>#VALUE!</v>
      </c>
      <c r="AU7" s="5" t="e">
        <f>AND('Full Results'!M50,"AAAAAHv/8i4=")</f>
        <v>#VALUE!</v>
      </c>
      <c r="AV7" s="5" t="e">
        <f>AND('Full Results'!N50,"AAAAAHv/8i8=")</f>
        <v>#VALUE!</v>
      </c>
      <c r="AW7" s="5" t="e">
        <f>AND('Full Results'!O50,"AAAAAHv/8jA=")</f>
        <v>#VALUE!</v>
      </c>
      <c r="AX7" s="5" t="e">
        <f>AND('Full Results'!P50,"AAAAAHv/8jE=")</f>
        <v>#VALUE!</v>
      </c>
      <c r="AY7" s="5" t="e">
        <f>AND('Full Results'!Q50,"AAAAAHv/8jI=")</f>
        <v>#VALUE!</v>
      </c>
      <c r="AZ7" s="5" t="e">
        <f>AND('Full Results'!R50,"AAAAAHv/8jM=")</f>
        <v>#VALUE!</v>
      </c>
      <c r="BA7" s="5" t="e">
        <f>AND('Full Results'!S50,"AAAAAHv/8jQ=")</f>
        <v>#VALUE!</v>
      </c>
      <c r="BB7" s="5" t="e">
        <f>AND('Full Results'!T50,"AAAAAHv/8jU=")</f>
        <v>#VALUE!</v>
      </c>
      <c r="BC7" s="5" t="e">
        <f>AND('Full Results'!U50,"AAAAAHv/8jY=")</f>
        <v>#VALUE!</v>
      </c>
      <c r="BD7" s="5" t="e">
        <f>AND('Full Results'!V50,"AAAAAHv/8jc=")</f>
        <v>#VALUE!</v>
      </c>
      <c r="BE7" s="5" t="e">
        <f>AND('Full Results'!W50,"AAAAAHv/8jg=")</f>
        <v>#VALUE!</v>
      </c>
      <c r="BF7" s="5" t="s">
        <v>139</v>
      </c>
      <c r="BG7" s="5" t="s">
        <v>139</v>
      </c>
      <c r="BH7" s="5" t="s">
        <v>139</v>
      </c>
      <c r="BI7" s="5" t="s">
        <v>139</v>
      </c>
      <c r="BJ7" s="5" t="s">
        <v>139</v>
      </c>
      <c r="BK7" s="5" t="s">
        <v>139</v>
      </c>
      <c r="BL7" s="5" t="s">
        <v>139</v>
      </c>
      <c r="BM7" s="5">
        <v>0</v>
      </c>
      <c r="BN7" s="5" t="e">
        <f>AND('Full Results'!A51,"AAAAAHv/8kE=")</f>
        <v>#VALUE!</v>
      </c>
      <c r="BO7" s="5" t="e">
        <f>AND('Full Results'!B51,"AAAAAHv/8kI=")</f>
        <v>#VALUE!</v>
      </c>
      <c r="BP7" s="5" t="e">
        <f>AND('Full Results'!C51,"AAAAAHv/8kM=")</f>
        <v>#VALUE!</v>
      </c>
      <c r="BQ7" s="5" t="e">
        <f>AND('Full Results'!D51,"AAAAAHv/8kQ=")</f>
        <v>#VALUE!</v>
      </c>
      <c r="BR7" s="5" t="e">
        <f>AND('Full Results'!E51,"AAAAAHv/8kU=")</f>
        <v>#VALUE!</v>
      </c>
      <c r="BS7" s="5" t="s">
        <v>139</v>
      </c>
      <c r="BT7" s="5" t="e">
        <f>AND('Full Results'!F51,"AAAAAHv/8kc=")</f>
        <v>#VALUE!</v>
      </c>
      <c r="BU7" s="5" t="e">
        <f>AND('Full Results'!G51,"AAAAAHv/8kg=")</f>
        <v>#VALUE!</v>
      </c>
      <c r="BV7" s="5" t="e">
        <f>AND('Full Results'!H51,"AAAAAHv/8kk=")</f>
        <v>#VALUE!</v>
      </c>
      <c r="BW7" s="5" t="e">
        <f>AND('Full Results'!I51,"AAAAAHv/8ko=")</f>
        <v>#VALUE!</v>
      </c>
      <c r="BX7" s="5" t="e">
        <f>AND('Full Results'!J51,"AAAAAHv/8ks=")</f>
        <v>#VALUE!</v>
      </c>
      <c r="BY7" s="5" t="e">
        <f>AND('Full Results'!K51,"AAAAAHv/8kw=")</f>
        <v>#VALUE!</v>
      </c>
      <c r="BZ7" s="5" t="e">
        <f>AND('Full Results'!L51,"AAAAAHv/8k0=")</f>
        <v>#VALUE!</v>
      </c>
      <c r="CA7" s="5" t="e">
        <f>AND('Full Results'!M51,"AAAAAHv/8k4=")</f>
        <v>#VALUE!</v>
      </c>
      <c r="CB7" s="5" t="e">
        <f>AND('Full Results'!N51,"AAAAAHv/8k8=")</f>
        <v>#VALUE!</v>
      </c>
      <c r="CC7" s="5" t="e">
        <f>AND('Full Results'!O51,"AAAAAHv/8lA=")</f>
        <v>#VALUE!</v>
      </c>
      <c r="CD7" s="5" t="e">
        <f>AND('Full Results'!P51,"AAAAAHv/8lE=")</f>
        <v>#VALUE!</v>
      </c>
      <c r="CE7" s="5" t="e">
        <f>AND('Full Results'!Q51,"AAAAAHv/8lI=")</f>
        <v>#VALUE!</v>
      </c>
      <c r="CF7" s="5" t="e">
        <f>AND('Full Results'!R51,"AAAAAHv/8lM=")</f>
        <v>#VALUE!</v>
      </c>
      <c r="CG7" s="5" t="e">
        <f>AND('Full Results'!S51,"AAAAAHv/8lQ=")</f>
        <v>#VALUE!</v>
      </c>
      <c r="CH7" s="5" t="e">
        <f>AND('Full Results'!T51,"AAAAAHv/8lU=")</f>
        <v>#VALUE!</v>
      </c>
      <c r="CI7" s="5" t="e">
        <f>AND('Full Results'!U51,"AAAAAHv/8lY=")</f>
        <v>#VALUE!</v>
      </c>
      <c r="CJ7" s="5" t="e">
        <f>AND('Full Results'!V51,"AAAAAHv/8lc=")</f>
        <v>#VALUE!</v>
      </c>
      <c r="CK7" s="5" t="e">
        <f>AND('Full Results'!W51,"AAAAAHv/8lg=")</f>
        <v>#VALUE!</v>
      </c>
      <c r="CL7" s="5" t="s">
        <v>139</v>
      </c>
      <c r="CM7" s="5" t="s">
        <v>139</v>
      </c>
      <c r="CN7" s="5" t="s">
        <v>139</v>
      </c>
      <c r="CO7" s="5" t="s">
        <v>139</v>
      </c>
      <c r="CP7" s="5" t="s">
        <v>139</v>
      </c>
      <c r="CQ7" s="5" t="s">
        <v>139</v>
      </c>
      <c r="CR7" s="5" t="s">
        <v>139</v>
      </c>
      <c r="CS7" s="5">
        <v>0</v>
      </c>
      <c r="CT7" s="5" t="e">
        <f>AND('Full Results'!A52,"AAAAAHv/8mE=")</f>
        <v>#VALUE!</v>
      </c>
      <c r="CU7" s="5" t="e">
        <f>AND('Full Results'!B52,"AAAAAHv/8mI=")</f>
        <v>#VALUE!</v>
      </c>
      <c r="CV7" s="5" t="e">
        <f>AND('Full Results'!C52,"AAAAAHv/8mM=")</f>
        <v>#VALUE!</v>
      </c>
      <c r="CW7" s="5" t="e">
        <f>AND('Full Results'!D52,"AAAAAHv/8mQ=")</f>
        <v>#VALUE!</v>
      </c>
      <c r="CX7" s="5" t="e">
        <f>AND('Full Results'!E52,"AAAAAHv/8mU=")</f>
        <v>#VALUE!</v>
      </c>
      <c r="CY7" s="5" t="s">
        <v>139</v>
      </c>
      <c r="CZ7" s="5" t="e">
        <f>AND('Full Results'!F52,"AAAAAHv/8mc=")</f>
        <v>#VALUE!</v>
      </c>
      <c r="DA7" s="5" t="e">
        <f>AND('Full Results'!G52,"AAAAAHv/8mg=")</f>
        <v>#VALUE!</v>
      </c>
      <c r="DB7" s="5" t="e">
        <f>AND('Full Results'!H52,"AAAAAHv/8mk=")</f>
        <v>#VALUE!</v>
      </c>
      <c r="DC7" s="5" t="e">
        <f>AND('Full Results'!I52,"AAAAAHv/8mo=")</f>
        <v>#VALUE!</v>
      </c>
      <c r="DD7" s="5" t="e">
        <f>AND('Full Results'!J52,"AAAAAHv/8ms=")</f>
        <v>#VALUE!</v>
      </c>
      <c r="DE7" s="5" t="e">
        <f>AND('Full Results'!K52,"AAAAAHv/8mw=")</f>
        <v>#VALUE!</v>
      </c>
      <c r="DF7" s="5" t="e">
        <f>AND('Full Results'!L52,"AAAAAHv/8m0=")</f>
        <v>#VALUE!</v>
      </c>
      <c r="DG7" s="5" t="e">
        <f>AND('Full Results'!M52,"AAAAAHv/8m4=")</f>
        <v>#VALUE!</v>
      </c>
      <c r="DH7" s="5" t="e">
        <f>AND('Full Results'!N52,"AAAAAHv/8m8=")</f>
        <v>#VALUE!</v>
      </c>
      <c r="DI7" s="5" t="e">
        <f>AND('Full Results'!O52,"AAAAAHv/8nA=")</f>
        <v>#VALUE!</v>
      </c>
      <c r="DJ7" s="5" t="e">
        <f>AND('Full Results'!P52,"AAAAAHv/8nE=")</f>
        <v>#VALUE!</v>
      </c>
      <c r="DK7" s="5" t="e">
        <f>AND('Full Results'!Q52,"AAAAAHv/8nI=")</f>
        <v>#VALUE!</v>
      </c>
      <c r="DL7" s="5" t="e">
        <f>AND('Full Results'!R52,"AAAAAHv/8nM=")</f>
        <v>#VALUE!</v>
      </c>
      <c r="DM7" s="5" t="e">
        <f>AND('Full Results'!S52,"AAAAAHv/8nQ=")</f>
        <v>#VALUE!</v>
      </c>
      <c r="DN7" s="5" t="e">
        <f>AND('Full Results'!T52,"AAAAAHv/8nU=")</f>
        <v>#VALUE!</v>
      </c>
      <c r="DO7" s="5" t="e">
        <f>AND('Full Results'!U52,"AAAAAHv/8nY=")</f>
        <v>#VALUE!</v>
      </c>
      <c r="DP7" s="5" t="e">
        <f>AND('Full Results'!V52,"AAAAAHv/8nc=")</f>
        <v>#VALUE!</v>
      </c>
      <c r="DQ7" s="5" t="e">
        <f>AND('Full Results'!W52,"AAAAAHv/8ng=")</f>
        <v>#VALUE!</v>
      </c>
      <c r="DR7" s="5" t="s">
        <v>139</v>
      </c>
      <c r="DS7" s="5" t="s">
        <v>139</v>
      </c>
      <c r="DT7" s="5" t="s">
        <v>139</v>
      </c>
      <c r="DU7" s="5" t="s">
        <v>139</v>
      </c>
      <c r="DV7" s="5" t="s">
        <v>139</v>
      </c>
      <c r="DW7" s="5" t="s">
        <v>139</v>
      </c>
      <c r="DX7" s="5" t="s">
        <v>139</v>
      </c>
      <c r="DY7" s="5">
        <v>0</v>
      </c>
      <c r="DZ7" s="5" t="e">
        <f>AND('Full Results'!A53,"AAAAAHv/8oE=")</f>
        <v>#VALUE!</v>
      </c>
      <c r="EA7" s="5" t="e">
        <f>AND('Full Results'!B53,"AAAAAHv/8oI=")</f>
        <v>#VALUE!</v>
      </c>
      <c r="EB7" s="5" t="e">
        <f>AND('Full Results'!C53,"AAAAAHv/8oM=")</f>
        <v>#VALUE!</v>
      </c>
      <c r="EC7" s="5" t="e">
        <f>AND('Full Results'!D53,"AAAAAHv/8oQ=")</f>
        <v>#VALUE!</v>
      </c>
      <c r="ED7" s="5" t="e">
        <f>AND('Full Results'!E53,"AAAAAHv/8oU=")</f>
        <v>#VALUE!</v>
      </c>
      <c r="EE7" s="5" t="s">
        <v>139</v>
      </c>
      <c r="EF7" s="5" t="e">
        <f>AND('Full Results'!F53,"AAAAAHv/8oc=")</f>
        <v>#VALUE!</v>
      </c>
      <c r="EG7" s="5" t="e">
        <f>AND('Full Results'!G53,"AAAAAHv/8og=")</f>
        <v>#VALUE!</v>
      </c>
      <c r="EH7" s="5" t="e">
        <f>AND('Full Results'!H53,"AAAAAHv/8ok=")</f>
        <v>#VALUE!</v>
      </c>
      <c r="EI7" s="5" t="e">
        <f>AND('Full Results'!I53,"AAAAAHv/8oo=")</f>
        <v>#VALUE!</v>
      </c>
      <c r="EJ7" s="5" t="e">
        <f>AND('Full Results'!J53,"AAAAAHv/8os=")</f>
        <v>#VALUE!</v>
      </c>
      <c r="EK7" s="5" t="e">
        <f>AND('Full Results'!K53,"AAAAAHv/8ow=")</f>
        <v>#VALUE!</v>
      </c>
      <c r="EL7" s="5" t="e">
        <f>AND('Full Results'!L53,"AAAAAHv/8o0=")</f>
        <v>#VALUE!</v>
      </c>
      <c r="EM7" s="5" t="e">
        <f>AND('Full Results'!M53,"AAAAAHv/8o4=")</f>
        <v>#VALUE!</v>
      </c>
      <c r="EN7" s="5" t="e">
        <f>AND('Full Results'!N53,"AAAAAHv/8o8=")</f>
        <v>#VALUE!</v>
      </c>
      <c r="EO7" s="5" t="e">
        <f>AND('Full Results'!O53,"AAAAAHv/8pA=")</f>
        <v>#VALUE!</v>
      </c>
      <c r="EP7" s="5" t="e">
        <f>AND('Full Results'!P53,"AAAAAHv/8pE=")</f>
        <v>#VALUE!</v>
      </c>
      <c r="EQ7" s="5" t="e">
        <f>AND('Full Results'!Q53,"AAAAAHv/8pI=")</f>
        <v>#VALUE!</v>
      </c>
      <c r="ER7" s="5" t="e">
        <f>AND('Full Results'!R53,"AAAAAHv/8pM=")</f>
        <v>#VALUE!</v>
      </c>
      <c r="ES7" s="5" t="e">
        <f>AND('Full Results'!S53,"AAAAAHv/8pQ=")</f>
        <v>#VALUE!</v>
      </c>
      <c r="ET7" s="5" t="e">
        <f>AND('Full Results'!T53,"AAAAAHv/8pU=")</f>
        <v>#VALUE!</v>
      </c>
      <c r="EU7" s="5" t="e">
        <f>AND('Full Results'!U53,"AAAAAHv/8pY=")</f>
        <v>#VALUE!</v>
      </c>
      <c r="EV7" s="5" t="e">
        <f>AND('Full Results'!V53,"AAAAAHv/8pc=")</f>
        <v>#VALUE!</v>
      </c>
      <c r="EW7" s="5" t="e">
        <f>AND('Full Results'!W53,"AAAAAHv/8pg=")</f>
        <v>#VALUE!</v>
      </c>
      <c r="EX7" s="5" t="s">
        <v>139</v>
      </c>
      <c r="EY7" s="5" t="s">
        <v>139</v>
      </c>
      <c r="EZ7" s="5" t="s">
        <v>139</v>
      </c>
      <c r="FA7" s="5" t="s">
        <v>139</v>
      </c>
      <c r="FB7" s="5" t="s">
        <v>139</v>
      </c>
      <c r="FC7" s="5" t="s">
        <v>139</v>
      </c>
      <c r="FD7" s="5" t="s">
        <v>139</v>
      </c>
      <c r="FE7" s="5">
        <v>0</v>
      </c>
      <c r="FF7" s="5" t="e">
        <f>AND('Full Results'!A54,"AAAAAHv/8qE=")</f>
        <v>#VALUE!</v>
      </c>
      <c r="FG7" s="5" t="e">
        <f>AND('Full Results'!B54,"AAAAAHv/8qI=")</f>
        <v>#VALUE!</v>
      </c>
      <c r="FH7" s="5" t="e">
        <f>AND('Full Results'!C54,"AAAAAHv/8qM=")</f>
        <v>#VALUE!</v>
      </c>
      <c r="FI7" s="5" t="e">
        <f>AND('Full Results'!D54,"AAAAAHv/8qQ=")</f>
        <v>#VALUE!</v>
      </c>
      <c r="FJ7" s="5" t="e">
        <f>AND('Full Results'!E54,"AAAAAHv/8qU=")</f>
        <v>#VALUE!</v>
      </c>
      <c r="FK7" s="5" t="s">
        <v>139</v>
      </c>
      <c r="FL7" s="5" t="e">
        <f>AND('Full Results'!F54,"AAAAAHv/8qc=")</f>
        <v>#VALUE!</v>
      </c>
      <c r="FM7" s="5" t="e">
        <f>AND('Full Results'!G54,"AAAAAHv/8qg=")</f>
        <v>#VALUE!</v>
      </c>
      <c r="FN7" s="5" t="e">
        <f>AND('Full Results'!H54,"AAAAAHv/8qk=")</f>
        <v>#VALUE!</v>
      </c>
      <c r="FO7" s="5" t="e">
        <f>AND('Full Results'!I54,"AAAAAHv/8qo=")</f>
        <v>#VALUE!</v>
      </c>
      <c r="FP7" s="5" t="e">
        <f>AND('Full Results'!J54,"AAAAAHv/8qs=")</f>
        <v>#VALUE!</v>
      </c>
      <c r="FQ7" s="5" t="e">
        <f>AND('Full Results'!K54,"AAAAAHv/8qw=")</f>
        <v>#VALUE!</v>
      </c>
      <c r="FR7" s="5" t="e">
        <f>AND('Full Results'!L54,"AAAAAHv/8q0=")</f>
        <v>#VALUE!</v>
      </c>
      <c r="FS7" s="5" t="e">
        <f>AND('Full Results'!M54,"AAAAAHv/8q4=")</f>
        <v>#VALUE!</v>
      </c>
      <c r="FT7" s="5" t="e">
        <f>AND('Full Results'!N54,"AAAAAHv/8q8=")</f>
        <v>#VALUE!</v>
      </c>
      <c r="FU7" s="5" t="e">
        <f>AND('Full Results'!O54,"AAAAAHv/8rA=")</f>
        <v>#VALUE!</v>
      </c>
      <c r="FV7" s="5" t="e">
        <f>AND('Full Results'!P54,"AAAAAHv/8rE=")</f>
        <v>#VALUE!</v>
      </c>
      <c r="FW7" s="5" t="e">
        <f>AND('Full Results'!Q54,"AAAAAHv/8rI=")</f>
        <v>#VALUE!</v>
      </c>
      <c r="FX7" s="5" t="e">
        <f>AND('Full Results'!R54,"AAAAAHv/8rM=")</f>
        <v>#VALUE!</v>
      </c>
      <c r="FY7" s="5" t="e">
        <f>AND('Full Results'!S54,"AAAAAHv/8rQ=")</f>
        <v>#VALUE!</v>
      </c>
      <c r="FZ7" s="5" t="e">
        <f>AND('Full Results'!T54,"AAAAAHv/8rU=")</f>
        <v>#VALUE!</v>
      </c>
      <c r="GA7" s="5" t="e">
        <f>AND('Full Results'!U54,"AAAAAHv/8rY=")</f>
        <v>#VALUE!</v>
      </c>
      <c r="GB7" s="5" t="e">
        <f>AND('Full Results'!V54,"AAAAAHv/8rc=")</f>
        <v>#VALUE!</v>
      </c>
      <c r="GC7" s="5" t="e">
        <f>AND('Full Results'!W54,"AAAAAHv/8rg=")</f>
        <v>#VALUE!</v>
      </c>
      <c r="GD7" s="5" t="s">
        <v>139</v>
      </c>
      <c r="GE7" s="5" t="s">
        <v>139</v>
      </c>
      <c r="GF7" s="5" t="s">
        <v>139</v>
      </c>
      <c r="GG7" s="5" t="s">
        <v>139</v>
      </c>
      <c r="GH7" s="5" t="s">
        <v>139</v>
      </c>
      <c r="GI7" s="5" t="s">
        <v>139</v>
      </c>
      <c r="GJ7" s="5" t="s">
        <v>139</v>
      </c>
      <c r="GK7" s="5">
        <v>0</v>
      </c>
      <c r="GL7" s="5" t="e">
        <f>AND('Full Results'!A55,"AAAAAHv/8sE=")</f>
        <v>#VALUE!</v>
      </c>
      <c r="GM7" s="5" t="e">
        <f>AND('Full Results'!B55,"AAAAAHv/8sI=")</f>
        <v>#VALUE!</v>
      </c>
      <c r="GN7" s="5" t="e">
        <f>AND('Full Results'!C55,"AAAAAHv/8sM=")</f>
        <v>#VALUE!</v>
      </c>
      <c r="GO7" s="5" t="e">
        <f>AND('Full Results'!D55,"AAAAAHv/8sQ=")</f>
        <v>#VALUE!</v>
      </c>
      <c r="GP7" s="5" t="e">
        <f>AND('Full Results'!E55,"AAAAAHv/8sU=")</f>
        <v>#VALUE!</v>
      </c>
      <c r="GQ7" s="5" t="s">
        <v>139</v>
      </c>
      <c r="GR7" s="5" t="e">
        <f>AND('Full Results'!F55,"AAAAAHv/8sc=")</f>
        <v>#VALUE!</v>
      </c>
      <c r="GS7" s="5" t="e">
        <f>AND('Full Results'!G55,"AAAAAHv/8sg=")</f>
        <v>#VALUE!</v>
      </c>
      <c r="GT7" s="5" t="e">
        <f>AND('Full Results'!H55,"AAAAAHv/8sk=")</f>
        <v>#VALUE!</v>
      </c>
      <c r="GU7" s="5" t="e">
        <f>AND('Full Results'!I55,"AAAAAHv/8so=")</f>
        <v>#VALUE!</v>
      </c>
      <c r="GV7" s="5" t="e">
        <f>AND('Full Results'!J55,"AAAAAHv/8ss=")</f>
        <v>#VALUE!</v>
      </c>
      <c r="GW7" s="5" t="e">
        <f>AND('Full Results'!K55,"AAAAAHv/8sw=")</f>
        <v>#VALUE!</v>
      </c>
      <c r="GX7" s="5" t="e">
        <f>AND('Full Results'!L55,"AAAAAHv/8s0=")</f>
        <v>#VALUE!</v>
      </c>
      <c r="GY7" s="5" t="e">
        <f>AND('Full Results'!M55,"AAAAAHv/8s4=")</f>
        <v>#VALUE!</v>
      </c>
      <c r="GZ7" s="5" t="e">
        <f>AND('Full Results'!N55,"AAAAAHv/8s8=")</f>
        <v>#VALUE!</v>
      </c>
      <c r="HA7" s="5" t="e">
        <f>AND('Full Results'!O55,"AAAAAHv/8tA=")</f>
        <v>#VALUE!</v>
      </c>
      <c r="HB7" s="5" t="e">
        <f>AND('Full Results'!P55,"AAAAAHv/8tE=")</f>
        <v>#VALUE!</v>
      </c>
      <c r="HC7" s="5" t="e">
        <f>AND('Full Results'!Q55,"AAAAAHv/8tI=")</f>
        <v>#VALUE!</v>
      </c>
      <c r="HD7" s="5" t="e">
        <f>AND('Full Results'!R55,"AAAAAHv/8tM=")</f>
        <v>#VALUE!</v>
      </c>
      <c r="HE7" s="5" t="e">
        <f>AND('Full Results'!S55,"AAAAAHv/8tQ=")</f>
        <v>#VALUE!</v>
      </c>
      <c r="HF7" s="5" t="e">
        <f>AND('Full Results'!T55,"AAAAAHv/8tU=")</f>
        <v>#VALUE!</v>
      </c>
      <c r="HG7" s="5" t="e">
        <f>AND('Full Results'!U55,"AAAAAHv/8tY=")</f>
        <v>#VALUE!</v>
      </c>
      <c r="HH7" s="5" t="e">
        <f>AND('Full Results'!V55,"AAAAAHv/8tc=")</f>
        <v>#VALUE!</v>
      </c>
      <c r="HI7" s="5" t="e">
        <f>AND('Full Results'!W55,"AAAAAHv/8tg=")</f>
        <v>#VALUE!</v>
      </c>
      <c r="HJ7" s="5" t="s">
        <v>139</v>
      </c>
      <c r="HK7" s="5" t="s">
        <v>139</v>
      </c>
      <c r="HL7" s="5" t="s">
        <v>139</v>
      </c>
      <c r="HM7" s="5" t="s">
        <v>139</v>
      </c>
      <c r="HN7" s="5" t="s">
        <v>139</v>
      </c>
      <c r="HO7" s="5" t="s">
        <v>139</v>
      </c>
      <c r="HP7" s="5" t="s">
        <v>139</v>
      </c>
      <c r="HQ7" s="5">
        <v>0</v>
      </c>
      <c r="HR7" s="5" t="e">
        <f>AND('Full Results'!A56,"AAAAAHv/8uE=")</f>
        <v>#VALUE!</v>
      </c>
      <c r="HS7" s="5" t="e">
        <f>AND('Full Results'!B56,"AAAAAHv/8uI=")</f>
        <v>#VALUE!</v>
      </c>
      <c r="HT7" s="5" t="e">
        <f>AND('Full Results'!C56,"AAAAAHv/8uM=")</f>
        <v>#VALUE!</v>
      </c>
      <c r="HU7" s="5" t="e">
        <f>AND('Full Results'!D56,"AAAAAHv/8uQ=")</f>
        <v>#VALUE!</v>
      </c>
      <c r="HV7" s="5" t="e">
        <f>AND('Full Results'!E56,"AAAAAHv/8uU=")</f>
        <v>#VALUE!</v>
      </c>
      <c r="HW7" s="5" t="s">
        <v>139</v>
      </c>
      <c r="HX7" s="5" t="e">
        <f>AND('Full Results'!F56,"AAAAAHv/8uc=")</f>
        <v>#VALUE!</v>
      </c>
      <c r="HY7" s="5" t="e">
        <f>AND('Full Results'!G56,"AAAAAHv/8ug=")</f>
        <v>#VALUE!</v>
      </c>
      <c r="HZ7" s="5" t="e">
        <f>AND('Full Results'!H56,"AAAAAHv/8uk=")</f>
        <v>#VALUE!</v>
      </c>
      <c r="IA7" s="5" t="e">
        <f>AND('Full Results'!I56,"AAAAAHv/8uo=")</f>
        <v>#VALUE!</v>
      </c>
      <c r="IB7" s="5" t="e">
        <f>AND('Full Results'!J56,"AAAAAHv/8us=")</f>
        <v>#VALUE!</v>
      </c>
      <c r="IC7" s="5" t="e">
        <f>AND('Full Results'!K56,"AAAAAHv/8uw=")</f>
        <v>#VALUE!</v>
      </c>
      <c r="ID7" s="5" t="e">
        <f>AND('Full Results'!L56,"AAAAAHv/8u0=")</f>
        <v>#VALUE!</v>
      </c>
      <c r="IE7" s="5" t="e">
        <f>AND('Full Results'!M56,"AAAAAHv/8u4=")</f>
        <v>#VALUE!</v>
      </c>
      <c r="IF7" s="5" t="e">
        <f>AND('Full Results'!N56,"AAAAAHv/8u8=")</f>
        <v>#VALUE!</v>
      </c>
      <c r="IG7" s="5" t="e">
        <f>AND('Full Results'!O56,"AAAAAHv/8vA=")</f>
        <v>#VALUE!</v>
      </c>
      <c r="IH7" s="5" t="e">
        <f>AND('Full Results'!P56,"AAAAAHv/8vE=")</f>
        <v>#VALUE!</v>
      </c>
      <c r="II7" s="5" t="e">
        <f>AND('Full Results'!Q56,"AAAAAHv/8vI=")</f>
        <v>#VALUE!</v>
      </c>
      <c r="IJ7" s="5" t="e">
        <f>AND('Full Results'!R56,"AAAAAHv/8vM=")</f>
        <v>#VALUE!</v>
      </c>
      <c r="IK7" s="5" t="e">
        <f>AND('Full Results'!S56,"AAAAAHv/8vQ=")</f>
        <v>#VALUE!</v>
      </c>
      <c r="IL7" s="5" t="e">
        <f>AND('Full Results'!T56,"AAAAAHv/8vU=")</f>
        <v>#VALUE!</v>
      </c>
      <c r="IM7" s="5" t="e">
        <f>AND('Full Results'!U56,"AAAAAHv/8vY=")</f>
        <v>#VALUE!</v>
      </c>
      <c r="IN7" s="5" t="e">
        <f>AND('Full Results'!V56,"AAAAAHv/8vc=")</f>
        <v>#VALUE!</v>
      </c>
      <c r="IO7" s="5" t="e">
        <f>AND('Full Results'!W56,"AAAAAHv/8vg=")</f>
        <v>#VALUE!</v>
      </c>
      <c r="IP7" s="5" t="s">
        <v>139</v>
      </c>
      <c r="IQ7" s="5" t="s">
        <v>139</v>
      </c>
      <c r="IR7" s="5" t="s">
        <v>139</v>
      </c>
      <c r="IS7" s="5" t="s">
        <v>139</v>
      </c>
      <c r="IT7" s="5" t="s">
        <v>139</v>
      </c>
      <c r="IU7" s="5" t="s">
        <v>139</v>
      </c>
      <c r="IV7" s="5" t="s">
        <v>139</v>
      </c>
    </row>
    <row r="8" spans="1:256" ht="15" customHeight="1" x14ac:dyDescent="0.2">
      <c r="A8" s="5" t="s">
        <v>140</v>
      </c>
      <c r="B8" s="5" t="e">
        <f>AND('Full Results'!A57,"AAAAAD/O9wE=")</f>
        <v>#VALUE!</v>
      </c>
      <c r="C8" s="5" t="e">
        <f>AND('Full Results'!B57,"AAAAAD/O9wI=")</f>
        <v>#VALUE!</v>
      </c>
      <c r="D8" s="5" t="e">
        <f>AND('Full Results'!C57,"AAAAAD/O9wM=")</f>
        <v>#VALUE!</v>
      </c>
      <c r="E8" s="5" t="e">
        <f>AND('Full Results'!D57,"AAAAAD/O9wQ=")</f>
        <v>#VALUE!</v>
      </c>
      <c r="F8" s="5" t="e">
        <f>AND('Full Results'!E57,"AAAAAD/O9wU=")</f>
        <v>#VALUE!</v>
      </c>
      <c r="G8" s="5" t="s">
        <v>139</v>
      </c>
      <c r="H8" s="5" t="e">
        <f>AND('Full Results'!F57,"AAAAAD/O9wc=")</f>
        <v>#VALUE!</v>
      </c>
      <c r="I8" s="5" t="e">
        <f>AND('Full Results'!G57,"AAAAAD/O9wg=")</f>
        <v>#VALUE!</v>
      </c>
      <c r="J8" s="5" t="e">
        <f>AND('Full Results'!H57,"AAAAAD/O9wk=")</f>
        <v>#VALUE!</v>
      </c>
      <c r="K8" s="5" t="e">
        <f>AND('Full Results'!I57,"AAAAAD/O9wo=")</f>
        <v>#VALUE!</v>
      </c>
      <c r="L8" s="5" t="e">
        <f>AND('Full Results'!J57,"AAAAAD/O9ws=")</f>
        <v>#VALUE!</v>
      </c>
      <c r="M8" s="5" t="e">
        <f>AND('Full Results'!K57,"AAAAAD/O9ww=")</f>
        <v>#VALUE!</v>
      </c>
      <c r="N8" s="5" t="e">
        <f>AND('Full Results'!L57,"AAAAAD/O9w0=")</f>
        <v>#VALUE!</v>
      </c>
      <c r="O8" s="5" t="e">
        <f>AND('Full Results'!M57,"AAAAAD/O9w4=")</f>
        <v>#VALUE!</v>
      </c>
      <c r="P8" s="5" t="e">
        <f>AND('Full Results'!N57,"AAAAAD/O9w8=")</f>
        <v>#VALUE!</v>
      </c>
      <c r="Q8" s="5" t="e">
        <f>AND('Full Results'!O57,"AAAAAD/O9xA=")</f>
        <v>#VALUE!</v>
      </c>
      <c r="R8" s="5" t="e">
        <f>AND('Full Results'!P57,"AAAAAD/O9xE=")</f>
        <v>#VALUE!</v>
      </c>
      <c r="S8" s="5" t="e">
        <f>AND('Full Results'!Q57,"AAAAAD/O9xI=")</f>
        <v>#VALUE!</v>
      </c>
      <c r="T8" s="5" t="e">
        <f>AND('Full Results'!R57,"AAAAAD/O9xM=")</f>
        <v>#VALUE!</v>
      </c>
      <c r="U8" s="5" t="e">
        <f>AND('Full Results'!S57,"AAAAAD/O9xQ=")</f>
        <v>#VALUE!</v>
      </c>
      <c r="V8" s="5" t="e">
        <f>AND('Full Results'!T57,"AAAAAD/O9xU=")</f>
        <v>#VALUE!</v>
      </c>
      <c r="W8" s="5" t="e">
        <f>AND('Full Results'!U57,"AAAAAD/O9xY=")</f>
        <v>#VALUE!</v>
      </c>
      <c r="X8" s="5" t="e">
        <f>AND('Full Results'!V57,"AAAAAD/O9xc=")</f>
        <v>#VALUE!</v>
      </c>
      <c r="Y8" s="5" t="e">
        <f>AND('Full Results'!W57,"AAAAAD/O9xg=")</f>
        <v>#VALUE!</v>
      </c>
      <c r="Z8" s="5" t="s">
        <v>139</v>
      </c>
      <c r="AA8" s="5" t="s">
        <v>139</v>
      </c>
      <c r="AB8" s="5" t="s">
        <v>139</v>
      </c>
      <c r="AC8" s="5" t="s">
        <v>139</v>
      </c>
      <c r="AD8" s="5" t="s">
        <v>139</v>
      </c>
      <c r="AE8" s="5" t="s">
        <v>139</v>
      </c>
      <c r="AF8" s="5" t="s">
        <v>139</v>
      </c>
      <c r="AG8" s="5">
        <v>0</v>
      </c>
      <c r="AH8" s="5" t="e">
        <f>AND('Full Results'!A58,"AAAAAD/O9yE=")</f>
        <v>#VALUE!</v>
      </c>
      <c r="AI8" s="5" t="e">
        <f>AND('Full Results'!B58,"AAAAAD/O9yI=")</f>
        <v>#VALUE!</v>
      </c>
      <c r="AJ8" s="5" t="e">
        <f>AND('Full Results'!C58,"AAAAAD/O9yM=")</f>
        <v>#VALUE!</v>
      </c>
      <c r="AK8" s="5" t="e">
        <f>AND('Full Results'!D58,"AAAAAD/O9yQ=")</f>
        <v>#VALUE!</v>
      </c>
      <c r="AL8" s="5" t="e">
        <f>AND('Full Results'!E58,"AAAAAD/O9yU=")</f>
        <v>#VALUE!</v>
      </c>
      <c r="AM8" s="5" t="s">
        <v>139</v>
      </c>
      <c r="AN8" s="5" t="e">
        <f>AND('Full Results'!F58,"AAAAAD/O9yc=")</f>
        <v>#VALUE!</v>
      </c>
      <c r="AO8" s="5" t="e">
        <f>AND('Full Results'!G58,"AAAAAD/O9yg=")</f>
        <v>#VALUE!</v>
      </c>
      <c r="AP8" s="5" t="e">
        <f>AND('Full Results'!H58,"AAAAAD/O9yk=")</f>
        <v>#VALUE!</v>
      </c>
      <c r="AQ8" s="5" t="e">
        <f>AND('Full Results'!I58,"AAAAAD/O9yo=")</f>
        <v>#VALUE!</v>
      </c>
      <c r="AR8" s="5" t="e">
        <f>AND('Full Results'!J58,"AAAAAD/O9ys=")</f>
        <v>#VALUE!</v>
      </c>
      <c r="AS8" s="5" t="e">
        <f>AND('Full Results'!K58,"AAAAAD/O9yw=")</f>
        <v>#VALUE!</v>
      </c>
      <c r="AT8" s="5" t="e">
        <f>AND('Full Results'!L58,"AAAAAD/O9y0=")</f>
        <v>#VALUE!</v>
      </c>
      <c r="AU8" s="5" t="e">
        <f>AND('Full Results'!M58,"AAAAAD/O9y4=")</f>
        <v>#VALUE!</v>
      </c>
      <c r="AV8" s="5" t="e">
        <f>AND('Full Results'!N58,"AAAAAD/O9y8=")</f>
        <v>#VALUE!</v>
      </c>
      <c r="AW8" s="5" t="e">
        <f>AND('Full Results'!O58,"AAAAAD/O9zA=")</f>
        <v>#VALUE!</v>
      </c>
      <c r="AX8" s="5" t="e">
        <f>AND('Full Results'!P58,"AAAAAD/O9zE=")</f>
        <v>#VALUE!</v>
      </c>
      <c r="AY8" s="5" t="e">
        <f>AND('Full Results'!Q58,"AAAAAD/O9zI=")</f>
        <v>#VALUE!</v>
      </c>
      <c r="AZ8" s="5" t="e">
        <f>AND('Full Results'!R58,"AAAAAD/O9zM=")</f>
        <v>#VALUE!</v>
      </c>
      <c r="BA8" s="5" t="e">
        <f>AND('Full Results'!S58,"AAAAAD/O9zQ=")</f>
        <v>#VALUE!</v>
      </c>
      <c r="BB8" s="5" t="e">
        <f>AND('Full Results'!T58,"AAAAAD/O9zU=")</f>
        <v>#VALUE!</v>
      </c>
      <c r="BC8" s="5" t="e">
        <f>AND('Full Results'!U58,"AAAAAD/O9zY=")</f>
        <v>#VALUE!</v>
      </c>
      <c r="BD8" s="5" t="e">
        <f>AND('Full Results'!V58,"AAAAAD/O9zc=")</f>
        <v>#VALUE!</v>
      </c>
      <c r="BE8" s="5" t="e">
        <f>AND('Full Results'!W58,"AAAAAD/O9zg=")</f>
        <v>#VALUE!</v>
      </c>
      <c r="BF8" s="5" t="s">
        <v>139</v>
      </c>
      <c r="BG8" s="5" t="s">
        <v>139</v>
      </c>
      <c r="BH8" s="5" t="s">
        <v>139</v>
      </c>
      <c r="BI8" s="5" t="s">
        <v>139</v>
      </c>
      <c r="BJ8" s="5" t="s">
        <v>139</v>
      </c>
      <c r="BK8" s="5" t="s">
        <v>139</v>
      </c>
      <c r="BL8" s="5" t="s">
        <v>139</v>
      </c>
      <c r="BM8" s="5">
        <v>0</v>
      </c>
      <c r="BN8" s="5" t="e">
        <f>AND('Full Results'!A59,"AAAAAD/O90E=")</f>
        <v>#VALUE!</v>
      </c>
      <c r="BO8" s="5" t="e">
        <f>AND('Full Results'!B59,"AAAAAD/O90I=")</f>
        <v>#VALUE!</v>
      </c>
      <c r="BP8" s="5" t="e">
        <f>AND('Full Results'!C59,"AAAAAD/O90M=")</f>
        <v>#VALUE!</v>
      </c>
      <c r="BQ8" s="5" t="e">
        <f>AND('Full Results'!D59,"AAAAAD/O90Q=")</f>
        <v>#VALUE!</v>
      </c>
      <c r="BR8" s="5" t="e">
        <f>AND('Full Results'!E59,"AAAAAD/O90U=")</f>
        <v>#VALUE!</v>
      </c>
      <c r="BS8" s="5" t="s">
        <v>139</v>
      </c>
      <c r="BT8" s="5" t="e">
        <f>AND('Full Results'!F59,"AAAAAD/O90c=")</f>
        <v>#VALUE!</v>
      </c>
      <c r="BU8" s="5" t="e">
        <f>AND('Full Results'!G59,"AAAAAD/O90g=")</f>
        <v>#VALUE!</v>
      </c>
      <c r="BV8" s="5" t="e">
        <f>AND('Full Results'!H59,"AAAAAD/O90k=")</f>
        <v>#VALUE!</v>
      </c>
      <c r="BW8" s="5" t="e">
        <f>AND('Full Results'!I59,"AAAAAD/O90o=")</f>
        <v>#VALUE!</v>
      </c>
      <c r="BX8" s="5" t="e">
        <f>AND('Full Results'!J59,"AAAAAD/O90s=")</f>
        <v>#VALUE!</v>
      </c>
      <c r="BY8" s="5" t="e">
        <f>AND('Full Results'!K59,"AAAAAD/O90w=")</f>
        <v>#VALUE!</v>
      </c>
      <c r="BZ8" s="5" t="e">
        <f>AND('Full Results'!L59,"AAAAAD/O900=")</f>
        <v>#VALUE!</v>
      </c>
      <c r="CA8" s="5" t="e">
        <f>AND('Full Results'!M59,"AAAAAD/O904=")</f>
        <v>#VALUE!</v>
      </c>
      <c r="CB8" s="5" t="e">
        <f>AND('Full Results'!N59,"AAAAAD/O908=")</f>
        <v>#VALUE!</v>
      </c>
      <c r="CC8" s="5" t="e">
        <f>AND('Full Results'!O59,"AAAAAD/O91A=")</f>
        <v>#VALUE!</v>
      </c>
      <c r="CD8" s="5" t="e">
        <f>AND('Full Results'!P59,"AAAAAD/O91E=")</f>
        <v>#VALUE!</v>
      </c>
      <c r="CE8" s="5" t="e">
        <f>AND('Full Results'!Q59,"AAAAAD/O91I=")</f>
        <v>#VALUE!</v>
      </c>
      <c r="CF8" s="5" t="e">
        <f>AND('Full Results'!R59,"AAAAAD/O91M=")</f>
        <v>#VALUE!</v>
      </c>
      <c r="CG8" s="5" t="e">
        <f>AND('Full Results'!S59,"AAAAAD/O91Q=")</f>
        <v>#VALUE!</v>
      </c>
      <c r="CH8" s="5" t="e">
        <f>AND('Full Results'!T59,"AAAAAD/O91U=")</f>
        <v>#VALUE!</v>
      </c>
      <c r="CI8" s="5" t="e">
        <f>AND('Full Results'!U59,"AAAAAD/O91Y=")</f>
        <v>#VALUE!</v>
      </c>
      <c r="CJ8" s="5" t="e">
        <f>AND('Full Results'!V59,"AAAAAD/O91c=")</f>
        <v>#VALUE!</v>
      </c>
      <c r="CK8" s="5" t="e">
        <f>AND('Full Results'!W59,"AAAAAD/O91g=")</f>
        <v>#VALUE!</v>
      </c>
      <c r="CL8" s="5" t="s">
        <v>139</v>
      </c>
      <c r="CM8" s="5" t="s">
        <v>139</v>
      </c>
      <c r="CN8" s="5" t="s">
        <v>139</v>
      </c>
      <c r="CO8" s="5" t="s">
        <v>139</v>
      </c>
      <c r="CP8" s="5" t="s">
        <v>139</v>
      </c>
      <c r="CQ8" s="5" t="s">
        <v>139</v>
      </c>
      <c r="CR8" s="5" t="s">
        <v>139</v>
      </c>
      <c r="CS8" s="5">
        <v>0</v>
      </c>
      <c r="CT8" s="5" t="e">
        <f>AND('Full Results'!A60,"AAAAAD/O92E=")</f>
        <v>#VALUE!</v>
      </c>
      <c r="CU8" s="5" t="e">
        <f>AND('Full Results'!B60,"AAAAAD/O92I=")</f>
        <v>#VALUE!</v>
      </c>
      <c r="CV8" s="5" t="e">
        <f>AND('Full Results'!C60,"AAAAAD/O92M=")</f>
        <v>#VALUE!</v>
      </c>
      <c r="CW8" s="5" t="e">
        <f>AND('Full Results'!D60,"AAAAAD/O92Q=")</f>
        <v>#VALUE!</v>
      </c>
      <c r="CX8" s="5" t="e">
        <f>AND('Full Results'!E60,"AAAAAD/O92U=")</f>
        <v>#VALUE!</v>
      </c>
      <c r="CY8" s="5" t="s">
        <v>139</v>
      </c>
      <c r="CZ8" s="5" t="e">
        <f>AND('Full Results'!F60,"AAAAAD/O92c=")</f>
        <v>#VALUE!</v>
      </c>
      <c r="DA8" s="5" t="e">
        <f>AND('Full Results'!G60,"AAAAAD/O92g=")</f>
        <v>#VALUE!</v>
      </c>
      <c r="DB8" s="5" t="e">
        <f>AND('Full Results'!H60,"AAAAAD/O92k=")</f>
        <v>#VALUE!</v>
      </c>
      <c r="DC8" s="5" t="e">
        <f>AND('Full Results'!I60,"AAAAAD/O92o=")</f>
        <v>#VALUE!</v>
      </c>
      <c r="DD8" s="5" t="e">
        <f>AND('Full Results'!J60,"AAAAAD/O92s=")</f>
        <v>#VALUE!</v>
      </c>
      <c r="DE8" s="5" t="e">
        <f>AND('Full Results'!K60,"AAAAAD/O92w=")</f>
        <v>#VALUE!</v>
      </c>
      <c r="DF8" s="5" t="e">
        <f>AND('Full Results'!L60,"AAAAAD/O920=")</f>
        <v>#VALUE!</v>
      </c>
      <c r="DG8" s="5" t="e">
        <f>AND('Full Results'!M60,"AAAAAD/O924=")</f>
        <v>#VALUE!</v>
      </c>
      <c r="DH8" s="5" t="e">
        <f>AND('Full Results'!N60,"AAAAAD/O928=")</f>
        <v>#VALUE!</v>
      </c>
      <c r="DI8" s="5" t="e">
        <f>AND('Full Results'!O60,"AAAAAD/O93A=")</f>
        <v>#VALUE!</v>
      </c>
      <c r="DJ8" s="5" t="e">
        <f>AND('Full Results'!P60,"AAAAAD/O93E=")</f>
        <v>#VALUE!</v>
      </c>
      <c r="DK8" s="5" t="e">
        <f>AND('Full Results'!Q60,"AAAAAD/O93I=")</f>
        <v>#VALUE!</v>
      </c>
      <c r="DL8" s="5" t="e">
        <f>AND('Full Results'!R60,"AAAAAD/O93M=")</f>
        <v>#VALUE!</v>
      </c>
      <c r="DM8" s="5" t="e">
        <f>AND('Full Results'!S60,"AAAAAD/O93Q=")</f>
        <v>#VALUE!</v>
      </c>
      <c r="DN8" s="5" t="e">
        <f>AND('Full Results'!T60,"AAAAAD/O93U=")</f>
        <v>#VALUE!</v>
      </c>
      <c r="DO8" s="5" t="e">
        <f>AND('Full Results'!U60,"AAAAAD/O93Y=")</f>
        <v>#VALUE!</v>
      </c>
      <c r="DP8" s="5" t="e">
        <f>AND('Full Results'!V60,"AAAAAD/O93c=")</f>
        <v>#VALUE!</v>
      </c>
      <c r="DQ8" s="5" t="e">
        <f>AND('Full Results'!W60,"AAAAAD/O93g=")</f>
        <v>#VALUE!</v>
      </c>
      <c r="DR8" s="5" t="s">
        <v>139</v>
      </c>
      <c r="DS8" s="5" t="s">
        <v>139</v>
      </c>
      <c r="DT8" s="5" t="s">
        <v>139</v>
      </c>
      <c r="DU8" s="5" t="s">
        <v>139</v>
      </c>
      <c r="DV8" s="5" t="s">
        <v>139</v>
      </c>
      <c r="DW8" s="5" t="s">
        <v>139</v>
      </c>
      <c r="DX8" s="5" t="s">
        <v>139</v>
      </c>
      <c r="DY8" s="5">
        <v>0</v>
      </c>
      <c r="DZ8" s="5" t="e">
        <f>AND('Full Results'!A61,"AAAAAD/O94E=")</f>
        <v>#VALUE!</v>
      </c>
      <c r="EA8" s="5" t="e">
        <f>AND('Full Results'!B61,"AAAAAD/O94I=")</f>
        <v>#VALUE!</v>
      </c>
      <c r="EB8" s="5" t="e">
        <f>AND('Full Results'!C61,"AAAAAD/O94M=")</f>
        <v>#VALUE!</v>
      </c>
      <c r="EC8" s="5" t="e">
        <f>AND('Full Results'!D61,"AAAAAD/O94Q=")</f>
        <v>#VALUE!</v>
      </c>
      <c r="ED8" s="5" t="e">
        <f>AND('Full Results'!E61,"AAAAAD/O94U=")</f>
        <v>#VALUE!</v>
      </c>
      <c r="EE8" s="5" t="s">
        <v>139</v>
      </c>
      <c r="EF8" s="5" t="e">
        <f>AND('Full Results'!F61,"AAAAAD/O94c=")</f>
        <v>#VALUE!</v>
      </c>
      <c r="EG8" s="5" t="e">
        <f>AND('Full Results'!G61,"AAAAAD/O94g=")</f>
        <v>#VALUE!</v>
      </c>
      <c r="EH8" s="5" t="e">
        <f>AND('Full Results'!H61,"AAAAAD/O94k=")</f>
        <v>#VALUE!</v>
      </c>
      <c r="EI8" s="5" t="e">
        <f>AND('Full Results'!I61,"AAAAAD/O94o=")</f>
        <v>#VALUE!</v>
      </c>
      <c r="EJ8" s="5" t="e">
        <f>AND('Full Results'!J61,"AAAAAD/O94s=")</f>
        <v>#VALUE!</v>
      </c>
      <c r="EK8" s="5" t="e">
        <f>AND('Full Results'!K61,"AAAAAD/O94w=")</f>
        <v>#VALUE!</v>
      </c>
      <c r="EL8" s="5" t="e">
        <f>AND('Full Results'!L61,"AAAAAD/O940=")</f>
        <v>#VALUE!</v>
      </c>
      <c r="EM8" s="5" t="e">
        <f>AND('Full Results'!M61,"AAAAAD/O944=")</f>
        <v>#VALUE!</v>
      </c>
      <c r="EN8" s="5" t="e">
        <f>AND('Full Results'!N61,"AAAAAD/O948=")</f>
        <v>#VALUE!</v>
      </c>
      <c r="EO8" s="5" t="e">
        <f>AND('Full Results'!O61,"AAAAAD/O95A=")</f>
        <v>#VALUE!</v>
      </c>
      <c r="EP8" s="5" t="e">
        <f>AND('Full Results'!P61,"AAAAAD/O95E=")</f>
        <v>#VALUE!</v>
      </c>
      <c r="EQ8" s="5" t="e">
        <f>AND('Full Results'!Q61,"AAAAAD/O95I=")</f>
        <v>#VALUE!</v>
      </c>
      <c r="ER8" s="5" t="e">
        <f>AND('Full Results'!R61,"AAAAAD/O95M=")</f>
        <v>#VALUE!</v>
      </c>
      <c r="ES8" s="5" t="e">
        <f>AND('Full Results'!S61,"AAAAAD/O95Q=")</f>
        <v>#VALUE!</v>
      </c>
      <c r="ET8" s="5" t="e">
        <f>AND('Full Results'!T61,"AAAAAD/O95U=")</f>
        <v>#VALUE!</v>
      </c>
      <c r="EU8" s="5" t="e">
        <f>AND('Full Results'!U61,"AAAAAD/O95Y=")</f>
        <v>#VALUE!</v>
      </c>
      <c r="EV8" s="5" t="e">
        <f>AND('Full Results'!V61,"AAAAAD/O95c=")</f>
        <v>#VALUE!</v>
      </c>
      <c r="EW8" s="5" t="e">
        <f>AND('Full Results'!W61,"AAAAAD/O95g=")</f>
        <v>#VALUE!</v>
      </c>
      <c r="EX8" s="5" t="s">
        <v>139</v>
      </c>
      <c r="EY8" s="5" t="s">
        <v>139</v>
      </c>
      <c r="EZ8" s="5" t="s">
        <v>139</v>
      </c>
      <c r="FA8" s="5" t="s">
        <v>139</v>
      </c>
      <c r="FB8" s="5" t="s">
        <v>139</v>
      </c>
      <c r="FC8" s="5" t="s">
        <v>139</v>
      </c>
      <c r="FD8" s="5" t="s">
        <v>139</v>
      </c>
      <c r="FE8" s="5">
        <v>0</v>
      </c>
      <c r="FF8" s="5" t="e">
        <f>AND('Full Results'!A62,"AAAAAD/O96E=")</f>
        <v>#VALUE!</v>
      </c>
      <c r="FG8" s="5" t="e">
        <f>AND('Full Results'!B62,"AAAAAD/O96I=")</f>
        <v>#VALUE!</v>
      </c>
      <c r="FH8" s="5" t="e">
        <f>AND('Full Results'!C62,"AAAAAD/O96M=")</f>
        <v>#VALUE!</v>
      </c>
      <c r="FI8" s="5" t="e">
        <f>AND('Full Results'!D62,"AAAAAD/O96Q=")</f>
        <v>#VALUE!</v>
      </c>
      <c r="FJ8" s="5" t="e">
        <f>AND('Full Results'!E62,"AAAAAD/O96U=")</f>
        <v>#VALUE!</v>
      </c>
      <c r="FK8" s="5" t="s">
        <v>139</v>
      </c>
      <c r="FL8" s="5" t="e">
        <f>AND('Full Results'!F62,"AAAAAD/O96c=")</f>
        <v>#VALUE!</v>
      </c>
      <c r="FM8" s="5" t="e">
        <f>AND('Full Results'!G62,"AAAAAD/O96g=")</f>
        <v>#VALUE!</v>
      </c>
      <c r="FN8" s="5" t="e">
        <f>AND('Full Results'!H62,"AAAAAD/O96k=")</f>
        <v>#VALUE!</v>
      </c>
      <c r="FO8" s="5" t="e">
        <f>AND('Full Results'!I62,"AAAAAD/O96o=")</f>
        <v>#VALUE!</v>
      </c>
      <c r="FP8" s="5" t="e">
        <f>AND('Full Results'!J62,"AAAAAD/O96s=")</f>
        <v>#VALUE!</v>
      </c>
      <c r="FQ8" s="5" t="e">
        <f>AND('Full Results'!K62,"AAAAAD/O96w=")</f>
        <v>#VALUE!</v>
      </c>
      <c r="FR8" s="5" t="e">
        <f>AND('Full Results'!L62,"AAAAAD/O960=")</f>
        <v>#VALUE!</v>
      </c>
      <c r="FS8" s="5" t="e">
        <f>AND('Full Results'!M62,"AAAAAD/O964=")</f>
        <v>#VALUE!</v>
      </c>
      <c r="FT8" s="5" t="e">
        <f>AND('Full Results'!N62,"AAAAAD/O968=")</f>
        <v>#VALUE!</v>
      </c>
      <c r="FU8" s="5" t="e">
        <f>AND('Full Results'!O62,"AAAAAD/O97A=")</f>
        <v>#VALUE!</v>
      </c>
      <c r="FV8" s="5" t="e">
        <f>AND('Full Results'!P62,"AAAAAD/O97E=")</f>
        <v>#VALUE!</v>
      </c>
      <c r="FW8" s="5" t="e">
        <f>AND('Full Results'!Q62,"AAAAAD/O97I=")</f>
        <v>#VALUE!</v>
      </c>
      <c r="FX8" s="5" t="e">
        <f>AND('Full Results'!R62,"AAAAAD/O97M=")</f>
        <v>#VALUE!</v>
      </c>
      <c r="FY8" s="5" t="e">
        <f>AND('Full Results'!S62,"AAAAAD/O97Q=")</f>
        <v>#VALUE!</v>
      </c>
      <c r="FZ8" s="5" t="e">
        <f>AND('Full Results'!T62,"AAAAAD/O97U=")</f>
        <v>#VALUE!</v>
      </c>
      <c r="GA8" s="5" t="e">
        <f>AND('Full Results'!U62,"AAAAAD/O97Y=")</f>
        <v>#VALUE!</v>
      </c>
      <c r="GB8" s="5" t="e">
        <f>AND('Full Results'!V62,"AAAAAD/O97c=")</f>
        <v>#VALUE!</v>
      </c>
      <c r="GC8" s="5" t="e">
        <f>AND('Full Results'!W62,"AAAAAD/O97g=")</f>
        <v>#VALUE!</v>
      </c>
      <c r="GD8" s="5" t="s">
        <v>139</v>
      </c>
      <c r="GE8" s="5" t="s">
        <v>139</v>
      </c>
      <c r="GF8" s="5" t="s">
        <v>139</v>
      </c>
      <c r="GG8" s="5" t="s">
        <v>139</v>
      </c>
      <c r="GH8" s="5" t="s">
        <v>139</v>
      </c>
      <c r="GI8" s="5" t="s">
        <v>139</v>
      </c>
      <c r="GJ8" s="5" t="s">
        <v>139</v>
      </c>
      <c r="GK8" s="5">
        <v>0</v>
      </c>
      <c r="GL8" s="5" t="e">
        <f>AND('Full Results'!A63,"AAAAAD/O98E=")</f>
        <v>#VALUE!</v>
      </c>
      <c r="GM8" s="5" t="e">
        <f>AND('Full Results'!B63,"AAAAAD/O98I=")</f>
        <v>#VALUE!</v>
      </c>
      <c r="GN8" s="5" t="e">
        <f>AND('Full Results'!C63,"AAAAAD/O98M=")</f>
        <v>#VALUE!</v>
      </c>
      <c r="GO8" s="5" t="e">
        <f>AND('Full Results'!D63,"AAAAAD/O98Q=")</f>
        <v>#VALUE!</v>
      </c>
      <c r="GP8" s="5" t="e">
        <f>AND('Full Results'!E63,"AAAAAD/O98U=")</f>
        <v>#VALUE!</v>
      </c>
      <c r="GQ8" s="5" t="s">
        <v>139</v>
      </c>
      <c r="GR8" s="5" t="e">
        <f>AND('Full Results'!F63,"AAAAAD/O98c=")</f>
        <v>#VALUE!</v>
      </c>
      <c r="GS8" s="5" t="e">
        <f>AND('Full Results'!G63,"AAAAAD/O98g=")</f>
        <v>#VALUE!</v>
      </c>
      <c r="GT8" s="5" t="e">
        <f>AND('Full Results'!H63,"AAAAAD/O98k=")</f>
        <v>#VALUE!</v>
      </c>
      <c r="GU8" s="5" t="e">
        <f>AND('Full Results'!I63,"AAAAAD/O98o=")</f>
        <v>#VALUE!</v>
      </c>
      <c r="GV8" s="5" t="e">
        <f>AND('Full Results'!J63,"AAAAAD/O98s=")</f>
        <v>#VALUE!</v>
      </c>
      <c r="GW8" s="5" t="e">
        <f>AND('Full Results'!K63,"AAAAAD/O98w=")</f>
        <v>#VALUE!</v>
      </c>
      <c r="GX8" s="5" t="e">
        <f>AND('Full Results'!L63,"AAAAAD/O980=")</f>
        <v>#VALUE!</v>
      </c>
      <c r="GY8" s="5" t="e">
        <f>AND('Full Results'!M63,"AAAAAD/O984=")</f>
        <v>#VALUE!</v>
      </c>
      <c r="GZ8" s="5" t="e">
        <f>AND('Full Results'!N63,"AAAAAD/O988=")</f>
        <v>#VALUE!</v>
      </c>
      <c r="HA8" s="5" t="e">
        <f>AND('Full Results'!O63,"AAAAAD/O99A=")</f>
        <v>#VALUE!</v>
      </c>
      <c r="HB8" s="5" t="e">
        <f>AND('Full Results'!P63,"AAAAAD/O99E=")</f>
        <v>#VALUE!</v>
      </c>
      <c r="HC8" s="5" t="e">
        <f>AND('Full Results'!Q63,"AAAAAD/O99I=")</f>
        <v>#VALUE!</v>
      </c>
      <c r="HD8" s="5" t="e">
        <f>AND('Full Results'!R63,"AAAAAD/O99M=")</f>
        <v>#VALUE!</v>
      </c>
      <c r="HE8" s="5" t="e">
        <f>AND('Full Results'!S63,"AAAAAD/O99Q=")</f>
        <v>#VALUE!</v>
      </c>
      <c r="HF8" s="5" t="e">
        <f>AND('Full Results'!T63,"AAAAAD/O99U=")</f>
        <v>#VALUE!</v>
      </c>
      <c r="HG8" s="5" t="e">
        <f>AND('Full Results'!U63,"AAAAAD/O99Y=")</f>
        <v>#VALUE!</v>
      </c>
      <c r="HH8" s="5" t="e">
        <f>AND('Full Results'!V63,"AAAAAD/O99c=")</f>
        <v>#VALUE!</v>
      </c>
      <c r="HI8" s="5" t="e">
        <f>AND('Full Results'!W63,"AAAAAD/O99g=")</f>
        <v>#VALUE!</v>
      </c>
      <c r="HJ8" s="5" t="s">
        <v>139</v>
      </c>
      <c r="HK8" s="5" t="s">
        <v>139</v>
      </c>
      <c r="HL8" s="5" t="s">
        <v>139</v>
      </c>
      <c r="HM8" s="5" t="s">
        <v>139</v>
      </c>
      <c r="HN8" s="5" t="s">
        <v>139</v>
      </c>
      <c r="HO8" s="5" t="s">
        <v>139</v>
      </c>
      <c r="HP8" s="5" t="s">
        <v>139</v>
      </c>
      <c r="HQ8" s="5">
        <v>0</v>
      </c>
      <c r="HR8" s="5" t="e">
        <f>AND('Full Results'!A64,"AAAAAD/O9+E=")</f>
        <v>#VALUE!</v>
      </c>
      <c r="HS8" s="5" t="e">
        <f>AND('Full Results'!B64,"AAAAAD/O9+I=")</f>
        <v>#VALUE!</v>
      </c>
      <c r="HT8" s="5" t="e">
        <f>AND('Full Results'!C64,"AAAAAD/O9+M=")</f>
        <v>#VALUE!</v>
      </c>
      <c r="HU8" s="5" t="e">
        <f>AND('Full Results'!D64,"AAAAAD/O9+Q=")</f>
        <v>#VALUE!</v>
      </c>
      <c r="HV8" s="5" t="e">
        <f>AND('Full Results'!E64,"AAAAAD/O9+U=")</f>
        <v>#VALUE!</v>
      </c>
      <c r="HW8" s="5" t="s">
        <v>139</v>
      </c>
      <c r="HX8" s="5" t="e">
        <f>AND('Full Results'!F64,"AAAAAD/O9+c=")</f>
        <v>#VALUE!</v>
      </c>
      <c r="HY8" s="5" t="e">
        <f>AND('Full Results'!G64,"AAAAAD/O9+g=")</f>
        <v>#VALUE!</v>
      </c>
      <c r="HZ8" s="5" t="e">
        <f>AND('Full Results'!H64,"AAAAAD/O9+k=")</f>
        <v>#VALUE!</v>
      </c>
      <c r="IA8" s="5" t="e">
        <f>AND('Full Results'!I64,"AAAAAD/O9+o=")</f>
        <v>#VALUE!</v>
      </c>
      <c r="IB8" s="5" t="e">
        <f>AND('Full Results'!J64,"AAAAAD/O9+s=")</f>
        <v>#VALUE!</v>
      </c>
      <c r="IC8" s="5" t="e">
        <f>AND('Full Results'!K64,"AAAAAD/O9+w=")</f>
        <v>#VALUE!</v>
      </c>
      <c r="ID8" s="5" t="e">
        <f>AND('Full Results'!L64,"AAAAAD/O9+0=")</f>
        <v>#VALUE!</v>
      </c>
      <c r="IE8" s="5" t="e">
        <f>AND('Full Results'!M64,"AAAAAD/O9+4=")</f>
        <v>#VALUE!</v>
      </c>
      <c r="IF8" s="5" t="e">
        <f>AND('Full Results'!N64,"AAAAAD/O9+8=")</f>
        <v>#VALUE!</v>
      </c>
      <c r="IG8" s="5" t="e">
        <f>AND('Full Results'!O64,"AAAAAD/O9/A=")</f>
        <v>#VALUE!</v>
      </c>
      <c r="IH8" s="5" t="e">
        <f>AND('Full Results'!P64,"AAAAAD/O9/E=")</f>
        <v>#VALUE!</v>
      </c>
      <c r="II8" s="5" t="e">
        <f>AND('Full Results'!Q64,"AAAAAD/O9/I=")</f>
        <v>#VALUE!</v>
      </c>
      <c r="IJ8" s="5" t="e">
        <f>AND('Full Results'!R64,"AAAAAD/O9/M=")</f>
        <v>#VALUE!</v>
      </c>
      <c r="IK8" s="5" t="e">
        <f>AND('Full Results'!S64,"AAAAAD/O9/Q=")</f>
        <v>#VALUE!</v>
      </c>
      <c r="IL8" s="5" t="e">
        <f>AND('Full Results'!T64,"AAAAAD/O9/U=")</f>
        <v>#VALUE!</v>
      </c>
      <c r="IM8" s="5" t="e">
        <f>AND('Full Results'!U64,"AAAAAD/O9/Y=")</f>
        <v>#VALUE!</v>
      </c>
      <c r="IN8" s="5" t="e">
        <f>AND('Full Results'!V64,"AAAAAD/O9/c=")</f>
        <v>#VALUE!</v>
      </c>
      <c r="IO8" s="5" t="e">
        <f>AND('Full Results'!W64,"AAAAAD/O9/g=")</f>
        <v>#VALUE!</v>
      </c>
      <c r="IP8" s="5">
        <v>0</v>
      </c>
      <c r="IQ8" s="5" t="e">
        <f>AND('Full Results'!A65,"AAAAAD/O9/o=")</f>
        <v>#VALUE!</v>
      </c>
      <c r="IR8" s="5" t="e">
        <f>AND('Full Results'!B65,"AAAAAD/O9/s=")</f>
        <v>#VALUE!</v>
      </c>
      <c r="IS8" s="5" t="e">
        <f>AND('Full Results'!C65,"AAAAAD/O9/w=")</f>
        <v>#VALUE!</v>
      </c>
      <c r="IT8" s="5" t="e">
        <f>AND('Full Results'!D65,"AAAAAD/O9/0=")</f>
        <v>#VALUE!</v>
      </c>
      <c r="IU8" s="5" t="e">
        <f>AND('Full Results'!E65,"AAAAAD/O9/4=")</f>
        <v>#VALUE!</v>
      </c>
      <c r="IV8" s="5" t="s">
        <v>139</v>
      </c>
    </row>
    <row r="9" spans="1:256" ht="15" customHeight="1" x14ac:dyDescent="0.2">
      <c r="A9" s="5" t="e">
        <f>AND('Full Results'!F65,"AAAAAH/vfgA=")</f>
        <v>#VALUE!</v>
      </c>
      <c r="B9" s="5" t="e">
        <f>AND('Full Results'!G65,"AAAAAH/vfgE=")</f>
        <v>#VALUE!</v>
      </c>
      <c r="C9" s="5" t="e">
        <f>AND('Full Results'!H65,"AAAAAH/vfgI=")</f>
        <v>#VALUE!</v>
      </c>
      <c r="D9" s="5" t="e">
        <f>AND('Full Results'!I65,"AAAAAH/vfgM=")</f>
        <v>#VALUE!</v>
      </c>
      <c r="E9" s="5" t="e">
        <f>AND('Full Results'!J65,"AAAAAH/vfgQ=")</f>
        <v>#VALUE!</v>
      </c>
      <c r="F9" s="5" t="e">
        <f>AND('Full Results'!K65,"AAAAAH/vfgU=")</f>
        <v>#VALUE!</v>
      </c>
      <c r="G9" s="5" t="e">
        <f>AND('Full Results'!L65,"AAAAAH/vfgY=")</f>
        <v>#VALUE!</v>
      </c>
      <c r="H9" s="5" t="e">
        <f>AND('Full Results'!M65,"AAAAAH/vfgc=")</f>
        <v>#VALUE!</v>
      </c>
      <c r="I9" s="5" t="e">
        <f>AND('Full Results'!N65,"AAAAAH/vfgg=")</f>
        <v>#VALUE!</v>
      </c>
      <c r="J9" s="5" t="e">
        <f>AND('Full Results'!O65,"AAAAAH/vfgk=")</f>
        <v>#VALUE!</v>
      </c>
      <c r="K9" s="5" t="e">
        <f>AND('Full Results'!P65,"AAAAAH/vfgo=")</f>
        <v>#VALUE!</v>
      </c>
      <c r="L9" s="5" t="e">
        <f>AND('Full Results'!Q65,"AAAAAH/vfgs=")</f>
        <v>#VALUE!</v>
      </c>
      <c r="M9" s="5" t="e">
        <f>AND('Full Results'!R65,"AAAAAH/vfgw=")</f>
        <v>#VALUE!</v>
      </c>
      <c r="N9" s="5" t="e">
        <f>AND('Full Results'!S65,"AAAAAH/vfg0=")</f>
        <v>#VALUE!</v>
      </c>
      <c r="O9" s="5" t="e">
        <f>AND('Full Results'!T65,"AAAAAH/vfg4=")</f>
        <v>#VALUE!</v>
      </c>
      <c r="P9" s="5" t="e">
        <f>AND('Full Results'!U65,"AAAAAH/vfg8=")</f>
        <v>#VALUE!</v>
      </c>
      <c r="Q9" s="5" t="e">
        <f>AND('Full Results'!V65,"AAAAAH/vfhA=")</f>
        <v>#VALUE!</v>
      </c>
      <c r="R9" s="5" t="e">
        <f>AND('Full Results'!W65,"AAAAAH/vfhE=")</f>
        <v>#VALUE!</v>
      </c>
      <c r="S9" s="5">
        <v>0</v>
      </c>
      <c r="T9" s="5" t="e">
        <f>AND('Full Results'!A66,"AAAAAH/vfhM=")</f>
        <v>#VALUE!</v>
      </c>
      <c r="U9" s="5" t="e">
        <f>AND('Full Results'!B66,"AAAAAH/vfhQ=")</f>
        <v>#VALUE!</v>
      </c>
      <c r="V9" s="5" t="e">
        <f>AND('Full Results'!C66,"AAAAAH/vfhU=")</f>
        <v>#VALUE!</v>
      </c>
      <c r="W9" s="5" t="e">
        <f>AND('Full Results'!D66,"AAAAAH/vfhY=")</f>
        <v>#VALUE!</v>
      </c>
      <c r="X9" s="5" t="e">
        <f>AND('Full Results'!E66,"AAAAAH/vfhc=")</f>
        <v>#VALUE!</v>
      </c>
      <c r="Y9" s="5" t="s">
        <v>139</v>
      </c>
      <c r="Z9" s="5" t="e">
        <f>AND('Full Results'!F66,"AAAAAH/vfhk=")</f>
        <v>#VALUE!</v>
      </c>
      <c r="AA9" s="5" t="e">
        <f>AND('Full Results'!G66,"AAAAAH/vfho=")</f>
        <v>#VALUE!</v>
      </c>
      <c r="AB9" s="5" t="e">
        <f>AND('Full Results'!H66,"AAAAAH/vfhs=")</f>
        <v>#VALUE!</v>
      </c>
      <c r="AC9" s="5" t="e">
        <f>AND('Full Results'!I66,"AAAAAH/vfhw=")</f>
        <v>#VALUE!</v>
      </c>
      <c r="AD9" s="5" t="e">
        <f>AND('Full Results'!J66,"AAAAAH/vfh0=")</f>
        <v>#VALUE!</v>
      </c>
      <c r="AE9" s="5" t="e">
        <f>AND('Full Results'!K66,"AAAAAH/vfh4=")</f>
        <v>#VALUE!</v>
      </c>
      <c r="AF9" s="5" t="e">
        <f>AND('Full Results'!L66,"AAAAAH/vfh8=")</f>
        <v>#VALUE!</v>
      </c>
      <c r="AG9" s="5" t="e">
        <f>AND('Full Results'!M66,"AAAAAH/vfiA=")</f>
        <v>#VALUE!</v>
      </c>
      <c r="AH9" s="5" t="e">
        <f>AND('Full Results'!N66,"AAAAAH/vfiE=")</f>
        <v>#VALUE!</v>
      </c>
      <c r="AI9" s="5" t="e">
        <f>AND('Full Results'!O66,"AAAAAH/vfiI=")</f>
        <v>#VALUE!</v>
      </c>
      <c r="AJ9" s="5" t="e">
        <f>AND('Full Results'!P66,"AAAAAH/vfiM=")</f>
        <v>#VALUE!</v>
      </c>
      <c r="AK9" s="5" t="e">
        <f>AND('Full Results'!Q66,"AAAAAH/vfiQ=")</f>
        <v>#VALUE!</v>
      </c>
      <c r="AL9" s="5" t="e">
        <f>AND('Full Results'!R66,"AAAAAH/vfiU=")</f>
        <v>#VALUE!</v>
      </c>
      <c r="AM9" s="5" t="e">
        <f>AND('Full Results'!S66,"AAAAAH/vfiY=")</f>
        <v>#VALUE!</v>
      </c>
      <c r="AN9" s="5" t="e">
        <f>AND('Full Results'!T66,"AAAAAH/vfic=")</f>
        <v>#VALUE!</v>
      </c>
      <c r="AO9" s="5" t="e">
        <f>AND('Full Results'!U66,"AAAAAH/vfig=")</f>
        <v>#VALUE!</v>
      </c>
      <c r="AP9" s="5" t="e">
        <f>AND('Full Results'!V66,"AAAAAH/vfik=")</f>
        <v>#VALUE!</v>
      </c>
      <c r="AQ9" s="5" t="e">
        <f>AND('Full Results'!W66,"AAAAAH/vfio=")</f>
        <v>#VALUE!</v>
      </c>
      <c r="AR9" s="5">
        <v>0</v>
      </c>
      <c r="AS9" s="5" t="e">
        <f>AND('Full Results'!A67,"AAAAAH/vfiw=")</f>
        <v>#VALUE!</v>
      </c>
      <c r="AT9" s="5" t="e">
        <f>AND('Full Results'!B67,"AAAAAH/vfi0=")</f>
        <v>#VALUE!</v>
      </c>
      <c r="AU9" s="5" t="e">
        <f>AND('Full Results'!C67,"AAAAAH/vfi4=")</f>
        <v>#VALUE!</v>
      </c>
      <c r="AV9" s="5" t="e">
        <f>AND('Full Results'!D67,"AAAAAH/vfi8=")</f>
        <v>#VALUE!</v>
      </c>
      <c r="AW9" s="5" t="e">
        <f>AND('Full Results'!E67,"AAAAAH/vfjA=")</f>
        <v>#VALUE!</v>
      </c>
      <c r="AX9" s="5" t="s">
        <v>139</v>
      </c>
      <c r="AY9" s="5" t="e">
        <f>AND('Full Results'!F67,"AAAAAH/vfjI=")</f>
        <v>#VALUE!</v>
      </c>
      <c r="AZ9" s="5" t="e">
        <f>AND('Full Results'!G67,"AAAAAH/vfjM=")</f>
        <v>#VALUE!</v>
      </c>
      <c r="BA9" s="5" t="e">
        <f>AND('Full Results'!H67,"AAAAAH/vfjQ=")</f>
        <v>#VALUE!</v>
      </c>
      <c r="BB9" s="5" t="e">
        <f>AND('Full Results'!I67,"AAAAAH/vfjU=")</f>
        <v>#VALUE!</v>
      </c>
      <c r="BC9" s="5" t="e">
        <f>AND('Full Results'!J67,"AAAAAH/vfjY=")</f>
        <v>#VALUE!</v>
      </c>
      <c r="BD9" s="5" t="e">
        <f>AND('Full Results'!K67,"AAAAAH/vfjc=")</f>
        <v>#VALUE!</v>
      </c>
      <c r="BE9" s="5" t="e">
        <f>AND('Full Results'!L67,"AAAAAH/vfjg=")</f>
        <v>#VALUE!</v>
      </c>
      <c r="BF9" s="5" t="e">
        <f>AND('Full Results'!M67,"AAAAAH/vfjk=")</f>
        <v>#VALUE!</v>
      </c>
      <c r="BG9" s="5" t="e">
        <f>AND('Full Results'!N67,"AAAAAH/vfjo=")</f>
        <v>#VALUE!</v>
      </c>
      <c r="BH9" s="5" t="e">
        <f>AND('Full Results'!O67,"AAAAAH/vfjs=")</f>
        <v>#VALUE!</v>
      </c>
      <c r="BI9" s="5" t="e">
        <f>AND('Full Results'!P67,"AAAAAH/vfjw=")</f>
        <v>#VALUE!</v>
      </c>
      <c r="BJ9" s="5" t="e">
        <f>AND('Full Results'!Q67,"AAAAAH/vfj0=")</f>
        <v>#VALUE!</v>
      </c>
      <c r="BK9" s="5" t="e">
        <f>AND('Full Results'!R67,"AAAAAH/vfj4=")</f>
        <v>#VALUE!</v>
      </c>
      <c r="BL9" s="5" t="e">
        <f>AND('Full Results'!S67,"AAAAAH/vfj8=")</f>
        <v>#VALUE!</v>
      </c>
      <c r="BM9" s="5" t="e">
        <f>AND('Full Results'!T67,"AAAAAH/vfkA=")</f>
        <v>#VALUE!</v>
      </c>
      <c r="BN9" s="5" t="e">
        <f>AND('Full Results'!U67,"AAAAAH/vfkE=")</f>
        <v>#VALUE!</v>
      </c>
      <c r="BO9" s="5" t="e">
        <f>AND('Full Results'!V67,"AAAAAH/vfkI=")</f>
        <v>#VALUE!</v>
      </c>
      <c r="BP9" s="5" t="e">
        <f>AND('Full Results'!W67,"AAAAAH/vfkM=")</f>
        <v>#VALUE!</v>
      </c>
      <c r="BQ9" s="5">
        <v>0</v>
      </c>
      <c r="BR9" s="5" t="e">
        <f>AND('Full Results'!A68,"AAAAAH/vfkU=")</f>
        <v>#VALUE!</v>
      </c>
      <c r="BS9" s="5" t="e">
        <f>AND('Full Results'!B68,"AAAAAH/vfkY=")</f>
        <v>#VALUE!</v>
      </c>
      <c r="BT9" s="5" t="e">
        <f>AND('Full Results'!C68,"AAAAAH/vfkc=")</f>
        <v>#VALUE!</v>
      </c>
      <c r="BU9" s="5" t="e">
        <f>AND('Full Results'!D68,"AAAAAH/vfkg=")</f>
        <v>#VALUE!</v>
      </c>
      <c r="BV9" s="5" t="e">
        <f>AND('Full Results'!E68,"AAAAAH/vfkk=")</f>
        <v>#VALUE!</v>
      </c>
      <c r="BW9" s="5" t="s">
        <v>139</v>
      </c>
      <c r="BX9" s="5" t="e">
        <f>AND('Full Results'!F68,"AAAAAH/vfks=")</f>
        <v>#VALUE!</v>
      </c>
      <c r="BY9" s="5" t="e">
        <f>AND('Full Results'!G68,"AAAAAH/vfkw=")</f>
        <v>#VALUE!</v>
      </c>
      <c r="BZ9" s="5" t="e">
        <f>AND('Full Results'!H68,"AAAAAH/vfk0=")</f>
        <v>#VALUE!</v>
      </c>
      <c r="CA9" s="5" t="e">
        <f>AND('Full Results'!I68,"AAAAAH/vfk4=")</f>
        <v>#VALUE!</v>
      </c>
      <c r="CB9" s="5" t="e">
        <f>AND('Full Results'!J68,"AAAAAH/vfk8=")</f>
        <v>#VALUE!</v>
      </c>
      <c r="CC9" s="5" t="e">
        <f>AND('Full Results'!K68,"AAAAAH/vflA=")</f>
        <v>#VALUE!</v>
      </c>
      <c r="CD9" s="5" t="e">
        <f>AND('Full Results'!L68,"AAAAAH/vflE=")</f>
        <v>#VALUE!</v>
      </c>
      <c r="CE9" s="5" t="e">
        <f>AND('Full Results'!M68,"AAAAAH/vflI=")</f>
        <v>#VALUE!</v>
      </c>
      <c r="CF9" s="5" t="e">
        <f>AND('Full Results'!N68,"AAAAAH/vflM=")</f>
        <v>#VALUE!</v>
      </c>
      <c r="CG9" s="5" t="e">
        <f>AND('Full Results'!O68,"AAAAAH/vflQ=")</f>
        <v>#VALUE!</v>
      </c>
      <c r="CH9" s="5" t="e">
        <f>AND('Full Results'!P68,"AAAAAH/vflU=")</f>
        <v>#VALUE!</v>
      </c>
      <c r="CI9" s="5" t="e">
        <f>AND('Full Results'!Q68,"AAAAAH/vflY=")</f>
        <v>#VALUE!</v>
      </c>
      <c r="CJ9" s="5" t="e">
        <f>AND('Full Results'!R68,"AAAAAH/vflc=")</f>
        <v>#VALUE!</v>
      </c>
      <c r="CK9" s="5" t="e">
        <f>AND('Full Results'!S68,"AAAAAH/vflg=")</f>
        <v>#VALUE!</v>
      </c>
      <c r="CL9" s="5" t="e">
        <f>AND('Full Results'!T68,"AAAAAH/vflk=")</f>
        <v>#VALUE!</v>
      </c>
      <c r="CM9" s="5" t="e">
        <f>AND('Full Results'!U68,"AAAAAH/vflo=")</f>
        <v>#VALUE!</v>
      </c>
      <c r="CN9" s="5" t="e">
        <f>AND('Full Results'!V68,"AAAAAH/vfls=")</f>
        <v>#VALUE!</v>
      </c>
      <c r="CO9" s="5" t="e">
        <f>AND('Full Results'!W68,"AAAAAH/vflw=")</f>
        <v>#VALUE!</v>
      </c>
      <c r="CP9" s="5">
        <v>0</v>
      </c>
      <c r="CQ9" s="5" t="e">
        <f>AND('Full Results'!A69,"AAAAAH/vfl4=")</f>
        <v>#VALUE!</v>
      </c>
      <c r="CR9" s="5" t="e">
        <f>AND('Full Results'!B69,"AAAAAH/vfl8=")</f>
        <v>#VALUE!</v>
      </c>
      <c r="CS9" s="5" t="e">
        <f>AND('Full Results'!C69,"AAAAAH/vfmA=")</f>
        <v>#VALUE!</v>
      </c>
      <c r="CT9" s="5" t="e">
        <f>AND('Full Results'!D69,"AAAAAH/vfmE=")</f>
        <v>#VALUE!</v>
      </c>
      <c r="CU9" s="5" t="e">
        <f>AND('Full Results'!E69,"AAAAAH/vfmI=")</f>
        <v>#VALUE!</v>
      </c>
      <c r="CV9" s="5" t="s">
        <v>139</v>
      </c>
      <c r="CW9" s="5" t="e">
        <f>AND('Full Results'!F69,"AAAAAH/vfmQ=")</f>
        <v>#VALUE!</v>
      </c>
      <c r="CX9" s="5" t="e">
        <f>AND('Full Results'!G69,"AAAAAH/vfmU=")</f>
        <v>#VALUE!</v>
      </c>
      <c r="CY9" s="5" t="e">
        <f>AND('Full Results'!H69,"AAAAAH/vfmY=")</f>
        <v>#VALUE!</v>
      </c>
      <c r="CZ9" s="5" t="e">
        <f>AND('Full Results'!I69,"AAAAAH/vfmc=")</f>
        <v>#VALUE!</v>
      </c>
      <c r="DA9" s="5" t="e">
        <f>AND('Full Results'!J69,"AAAAAH/vfmg=")</f>
        <v>#VALUE!</v>
      </c>
      <c r="DB9" s="5" t="e">
        <f>AND('Full Results'!K69,"AAAAAH/vfmk=")</f>
        <v>#VALUE!</v>
      </c>
      <c r="DC9" s="5" t="e">
        <f>AND('Full Results'!L69,"AAAAAH/vfmo=")</f>
        <v>#VALUE!</v>
      </c>
      <c r="DD9" s="5" t="e">
        <f>AND('Full Results'!M69,"AAAAAH/vfms=")</f>
        <v>#VALUE!</v>
      </c>
      <c r="DE9" s="5" t="e">
        <f>AND('Full Results'!N69,"AAAAAH/vfmw=")</f>
        <v>#VALUE!</v>
      </c>
      <c r="DF9" s="5" t="e">
        <f>AND('Full Results'!O69,"AAAAAH/vfm0=")</f>
        <v>#VALUE!</v>
      </c>
      <c r="DG9" s="5" t="e">
        <f>AND('Full Results'!P69,"AAAAAH/vfm4=")</f>
        <v>#VALUE!</v>
      </c>
      <c r="DH9" s="5" t="e">
        <f>AND('Full Results'!Q69,"AAAAAH/vfm8=")</f>
        <v>#VALUE!</v>
      </c>
      <c r="DI9" s="5" t="e">
        <f>AND('Full Results'!R69,"AAAAAH/vfnA=")</f>
        <v>#VALUE!</v>
      </c>
      <c r="DJ9" s="5" t="e">
        <f>AND('Full Results'!S69,"AAAAAH/vfnE=")</f>
        <v>#VALUE!</v>
      </c>
      <c r="DK9" s="5" t="e">
        <f>AND('Full Results'!T69,"AAAAAH/vfnI=")</f>
        <v>#VALUE!</v>
      </c>
      <c r="DL9" s="5" t="e">
        <f>AND('Full Results'!U69,"AAAAAH/vfnM=")</f>
        <v>#VALUE!</v>
      </c>
      <c r="DM9" s="5" t="e">
        <f>AND('Full Results'!V69,"AAAAAH/vfnQ=")</f>
        <v>#VALUE!</v>
      </c>
      <c r="DN9" s="5" t="e">
        <f>AND('Full Results'!W69,"AAAAAH/vfnU=")</f>
        <v>#VALUE!</v>
      </c>
      <c r="DO9" s="5">
        <v>0</v>
      </c>
      <c r="DP9" s="5" t="e">
        <f>AND('Full Results'!A70,"AAAAAH/vfnc=")</f>
        <v>#VALUE!</v>
      </c>
      <c r="DQ9" s="5" t="e">
        <f>AND('Full Results'!B70,"AAAAAH/vfng=")</f>
        <v>#VALUE!</v>
      </c>
      <c r="DR9" s="5" t="e">
        <f>AND('Full Results'!C70,"AAAAAH/vfnk=")</f>
        <v>#VALUE!</v>
      </c>
      <c r="DS9" s="5" t="e">
        <f>AND('Full Results'!D70,"AAAAAH/vfno=")</f>
        <v>#VALUE!</v>
      </c>
      <c r="DT9" s="5" t="e">
        <f>AND('Full Results'!E70,"AAAAAH/vfns=")</f>
        <v>#VALUE!</v>
      </c>
      <c r="DU9" s="5" t="s">
        <v>139</v>
      </c>
      <c r="DV9" s="5" t="e">
        <f>AND('Full Results'!F70,"AAAAAH/vfn0=")</f>
        <v>#VALUE!</v>
      </c>
      <c r="DW9" s="5" t="e">
        <f>AND('Full Results'!G70,"AAAAAH/vfn4=")</f>
        <v>#VALUE!</v>
      </c>
      <c r="DX9" s="5" t="e">
        <f>AND('Full Results'!H70,"AAAAAH/vfn8=")</f>
        <v>#VALUE!</v>
      </c>
      <c r="DY9" s="5" t="e">
        <f>AND('Full Results'!I70,"AAAAAH/vfoA=")</f>
        <v>#VALUE!</v>
      </c>
      <c r="DZ9" s="5" t="e">
        <f>AND('Full Results'!J70,"AAAAAH/vfoE=")</f>
        <v>#VALUE!</v>
      </c>
      <c r="EA9" s="5" t="e">
        <f>AND('Full Results'!K70,"AAAAAH/vfoI=")</f>
        <v>#VALUE!</v>
      </c>
      <c r="EB9" s="5" t="e">
        <f>AND('Full Results'!L70,"AAAAAH/vfoM=")</f>
        <v>#VALUE!</v>
      </c>
      <c r="EC9" s="5" t="e">
        <f>AND('Full Results'!M70,"AAAAAH/vfoQ=")</f>
        <v>#VALUE!</v>
      </c>
      <c r="ED9" s="5" t="e">
        <f>AND('Full Results'!N70,"AAAAAH/vfoU=")</f>
        <v>#VALUE!</v>
      </c>
      <c r="EE9" s="5" t="e">
        <f>AND('Full Results'!O70,"AAAAAH/vfoY=")</f>
        <v>#VALUE!</v>
      </c>
      <c r="EF9" s="5" t="e">
        <f>AND('Full Results'!P70,"AAAAAH/vfoc=")</f>
        <v>#VALUE!</v>
      </c>
      <c r="EG9" s="5" t="e">
        <f>AND('Full Results'!Q70,"AAAAAH/vfog=")</f>
        <v>#VALUE!</v>
      </c>
      <c r="EH9" s="5" t="e">
        <f>AND('Full Results'!R70,"AAAAAH/vfok=")</f>
        <v>#VALUE!</v>
      </c>
      <c r="EI9" s="5" t="e">
        <f>AND('Full Results'!S70,"AAAAAH/vfoo=")</f>
        <v>#VALUE!</v>
      </c>
      <c r="EJ9" s="5" t="e">
        <f>AND('Full Results'!T70,"AAAAAH/vfos=")</f>
        <v>#VALUE!</v>
      </c>
      <c r="EK9" s="5" t="e">
        <f>AND('Full Results'!U70,"AAAAAH/vfow=")</f>
        <v>#VALUE!</v>
      </c>
      <c r="EL9" s="5" t="e">
        <f>AND('Full Results'!V70,"AAAAAH/vfo0=")</f>
        <v>#VALUE!</v>
      </c>
      <c r="EM9" s="5" t="e">
        <f>AND('Full Results'!W70,"AAAAAH/vfo4=")</f>
        <v>#VALUE!</v>
      </c>
      <c r="EN9" s="5">
        <v>0</v>
      </c>
      <c r="EO9" s="5" t="e">
        <f>AND('Full Results'!A71,"AAAAAH/vfpA=")</f>
        <v>#VALUE!</v>
      </c>
      <c r="EP9" s="5" t="e">
        <f>AND('Full Results'!B71,"AAAAAH/vfpE=")</f>
        <v>#VALUE!</v>
      </c>
      <c r="EQ9" s="5" t="e">
        <f>AND('Full Results'!C71,"AAAAAH/vfpI=")</f>
        <v>#VALUE!</v>
      </c>
      <c r="ER9" s="5" t="e">
        <f>AND('Full Results'!D71,"AAAAAH/vfpM=")</f>
        <v>#VALUE!</v>
      </c>
      <c r="ES9" s="5" t="e">
        <f>AND('Full Results'!E71,"AAAAAH/vfpQ=")</f>
        <v>#VALUE!</v>
      </c>
      <c r="ET9" s="5" t="s">
        <v>139</v>
      </c>
      <c r="EU9" s="5" t="e">
        <f>AND('Full Results'!F71,"AAAAAH/vfpY=")</f>
        <v>#VALUE!</v>
      </c>
      <c r="EV9" s="5" t="e">
        <f>AND('Full Results'!G71,"AAAAAH/vfpc=")</f>
        <v>#VALUE!</v>
      </c>
      <c r="EW9" s="5" t="e">
        <f>AND('Full Results'!H71,"AAAAAH/vfpg=")</f>
        <v>#VALUE!</v>
      </c>
      <c r="EX9" s="5" t="e">
        <f>AND('Full Results'!I71,"AAAAAH/vfpk=")</f>
        <v>#VALUE!</v>
      </c>
      <c r="EY9" s="5" t="e">
        <f>AND('Full Results'!J71,"AAAAAH/vfpo=")</f>
        <v>#VALUE!</v>
      </c>
      <c r="EZ9" s="5" t="e">
        <f>AND('Full Results'!K71,"AAAAAH/vfps=")</f>
        <v>#VALUE!</v>
      </c>
      <c r="FA9" s="5" t="e">
        <f>AND('Full Results'!L71,"AAAAAH/vfpw=")</f>
        <v>#VALUE!</v>
      </c>
      <c r="FB9" s="5" t="e">
        <f>AND('Full Results'!M71,"AAAAAH/vfp0=")</f>
        <v>#VALUE!</v>
      </c>
      <c r="FC9" s="5" t="e">
        <f>AND('Full Results'!N71,"AAAAAH/vfp4=")</f>
        <v>#VALUE!</v>
      </c>
      <c r="FD9" s="5" t="e">
        <f>AND('Full Results'!O71,"AAAAAH/vfp8=")</f>
        <v>#VALUE!</v>
      </c>
      <c r="FE9" s="5" t="e">
        <f>AND('Full Results'!P71,"AAAAAH/vfqA=")</f>
        <v>#VALUE!</v>
      </c>
      <c r="FF9" s="5" t="e">
        <f>AND('Full Results'!Q71,"AAAAAH/vfqE=")</f>
        <v>#VALUE!</v>
      </c>
      <c r="FG9" s="5" t="e">
        <f>AND('Full Results'!R71,"AAAAAH/vfqI=")</f>
        <v>#VALUE!</v>
      </c>
      <c r="FH9" s="5" t="e">
        <f>AND('Full Results'!S71,"AAAAAH/vfqM=")</f>
        <v>#VALUE!</v>
      </c>
      <c r="FI9" s="5" t="e">
        <f>AND('Full Results'!T71,"AAAAAH/vfqQ=")</f>
        <v>#VALUE!</v>
      </c>
      <c r="FJ9" s="5" t="e">
        <f>AND('Full Results'!U71,"AAAAAH/vfqU=")</f>
        <v>#VALUE!</v>
      </c>
      <c r="FK9" s="5" t="e">
        <f>AND('Full Results'!V71,"AAAAAH/vfqY=")</f>
        <v>#VALUE!</v>
      </c>
      <c r="FL9" s="5" t="e">
        <f>AND('Full Results'!W71,"AAAAAH/vfqc=")</f>
        <v>#VALUE!</v>
      </c>
      <c r="FM9" s="5">
        <v>0</v>
      </c>
      <c r="FN9" s="5" t="e">
        <f>AND('Full Results'!A72,"AAAAAH/vfqk=")</f>
        <v>#VALUE!</v>
      </c>
      <c r="FO9" s="5" t="e">
        <f>AND('Full Results'!B72,"AAAAAH/vfqo=")</f>
        <v>#VALUE!</v>
      </c>
      <c r="FP9" s="5" t="e">
        <f>AND('Full Results'!C72,"AAAAAH/vfqs=")</f>
        <v>#VALUE!</v>
      </c>
      <c r="FQ9" s="5" t="e">
        <f>AND('Full Results'!D72,"AAAAAH/vfqw=")</f>
        <v>#VALUE!</v>
      </c>
      <c r="FR9" s="5" t="e">
        <f>AND('Full Results'!E72,"AAAAAH/vfq0=")</f>
        <v>#VALUE!</v>
      </c>
      <c r="FS9" s="5" t="s">
        <v>139</v>
      </c>
      <c r="FT9" s="5" t="e">
        <f>AND('Full Results'!F72,"AAAAAH/vfq8=")</f>
        <v>#VALUE!</v>
      </c>
      <c r="FU9" s="5" t="e">
        <f>AND('Full Results'!G72,"AAAAAH/vfrA=")</f>
        <v>#VALUE!</v>
      </c>
      <c r="FV9" s="5" t="e">
        <f>AND('Full Results'!H72,"AAAAAH/vfrE=")</f>
        <v>#VALUE!</v>
      </c>
      <c r="FW9" s="5" t="e">
        <f>AND('Full Results'!I72,"AAAAAH/vfrI=")</f>
        <v>#VALUE!</v>
      </c>
      <c r="FX9" s="5" t="e">
        <f>AND('Full Results'!J72,"AAAAAH/vfrM=")</f>
        <v>#VALUE!</v>
      </c>
      <c r="FY9" s="5" t="e">
        <f>AND('Full Results'!K72,"AAAAAH/vfrQ=")</f>
        <v>#VALUE!</v>
      </c>
      <c r="FZ9" s="5" t="e">
        <f>AND('Full Results'!L72,"AAAAAH/vfrU=")</f>
        <v>#VALUE!</v>
      </c>
      <c r="GA9" s="5" t="e">
        <f>AND('Full Results'!M72,"AAAAAH/vfrY=")</f>
        <v>#VALUE!</v>
      </c>
      <c r="GB9" s="5" t="e">
        <f>AND('Full Results'!N72,"AAAAAH/vfrc=")</f>
        <v>#VALUE!</v>
      </c>
      <c r="GC9" s="5" t="e">
        <f>AND('Full Results'!O72,"AAAAAH/vfrg=")</f>
        <v>#VALUE!</v>
      </c>
      <c r="GD9" s="5" t="e">
        <f>AND('Full Results'!P72,"AAAAAH/vfrk=")</f>
        <v>#VALUE!</v>
      </c>
      <c r="GE9" s="5" t="e">
        <f>AND('Full Results'!Q72,"AAAAAH/vfro=")</f>
        <v>#VALUE!</v>
      </c>
      <c r="GF9" s="5" t="e">
        <f>AND('Full Results'!R72,"AAAAAH/vfrs=")</f>
        <v>#VALUE!</v>
      </c>
      <c r="GG9" s="5" t="e">
        <f>AND('Full Results'!S72,"AAAAAH/vfrw=")</f>
        <v>#VALUE!</v>
      </c>
      <c r="GH9" s="5" t="e">
        <f>AND('Full Results'!T72,"AAAAAH/vfr0=")</f>
        <v>#VALUE!</v>
      </c>
      <c r="GI9" s="5" t="e">
        <f>AND('Full Results'!U72,"AAAAAH/vfr4=")</f>
        <v>#VALUE!</v>
      </c>
      <c r="GJ9" s="5" t="e">
        <f>AND('Full Results'!V72,"AAAAAH/vfr8=")</f>
        <v>#VALUE!</v>
      </c>
      <c r="GK9" s="5" t="e">
        <f>AND('Full Results'!W72,"AAAAAH/vfsA=")</f>
        <v>#VALUE!</v>
      </c>
      <c r="GL9" s="5">
        <v>0</v>
      </c>
      <c r="GM9" s="5" t="e">
        <f>AND('Full Results'!A73,"AAAAAH/vfsI=")</f>
        <v>#VALUE!</v>
      </c>
      <c r="GN9" s="5" t="e">
        <f>AND('Full Results'!B73,"AAAAAH/vfsM=")</f>
        <v>#VALUE!</v>
      </c>
      <c r="GO9" s="5" t="e">
        <f>AND('Full Results'!C73,"AAAAAH/vfsQ=")</f>
        <v>#VALUE!</v>
      </c>
      <c r="GP9" s="5" t="e">
        <f>AND('Full Results'!D73,"AAAAAH/vfsU=")</f>
        <v>#VALUE!</v>
      </c>
      <c r="GQ9" s="5" t="e">
        <f>AND('Full Results'!E73,"AAAAAH/vfsY=")</f>
        <v>#VALUE!</v>
      </c>
      <c r="GR9" s="5" t="s">
        <v>139</v>
      </c>
      <c r="GS9" s="5" t="e">
        <f>AND('Full Results'!F73,"AAAAAH/vfsg=")</f>
        <v>#VALUE!</v>
      </c>
      <c r="GT9" s="5" t="e">
        <f>AND('Full Results'!G73,"AAAAAH/vfsk=")</f>
        <v>#VALUE!</v>
      </c>
      <c r="GU9" s="5" t="e">
        <f>AND('Full Results'!H73,"AAAAAH/vfso=")</f>
        <v>#VALUE!</v>
      </c>
      <c r="GV9" s="5" t="e">
        <f>AND('Full Results'!I73,"AAAAAH/vfss=")</f>
        <v>#VALUE!</v>
      </c>
      <c r="GW9" s="5" t="e">
        <f>AND('Full Results'!J73,"AAAAAH/vfsw=")</f>
        <v>#VALUE!</v>
      </c>
      <c r="GX9" s="5" t="e">
        <f>AND('Full Results'!K73,"AAAAAH/vfs0=")</f>
        <v>#VALUE!</v>
      </c>
      <c r="GY9" s="5" t="e">
        <f>AND('Full Results'!L73,"AAAAAH/vfs4=")</f>
        <v>#VALUE!</v>
      </c>
      <c r="GZ9" s="5" t="e">
        <f>AND('Full Results'!M73,"AAAAAH/vfs8=")</f>
        <v>#VALUE!</v>
      </c>
      <c r="HA9" s="5" t="e">
        <f>AND('Full Results'!N73,"AAAAAH/vftA=")</f>
        <v>#VALUE!</v>
      </c>
      <c r="HB9" s="5" t="e">
        <f>AND('Full Results'!O73,"AAAAAH/vftE=")</f>
        <v>#VALUE!</v>
      </c>
      <c r="HC9" s="5" t="e">
        <f>AND('Full Results'!P73,"AAAAAH/vftI=")</f>
        <v>#VALUE!</v>
      </c>
      <c r="HD9" s="5" t="e">
        <f>AND('Full Results'!Q73,"AAAAAH/vftM=")</f>
        <v>#VALUE!</v>
      </c>
      <c r="HE9" s="5" t="e">
        <f>AND('Full Results'!R73,"AAAAAH/vftQ=")</f>
        <v>#VALUE!</v>
      </c>
      <c r="HF9" s="5" t="e">
        <f>AND('Full Results'!S73,"AAAAAH/vftU=")</f>
        <v>#VALUE!</v>
      </c>
      <c r="HG9" s="5" t="e">
        <f>AND('Full Results'!T73,"AAAAAH/vftY=")</f>
        <v>#VALUE!</v>
      </c>
      <c r="HH9" s="5" t="e">
        <f>AND('Full Results'!U73,"AAAAAH/vftc=")</f>
        <v>#VALUE!</v>
      </c>
      <c r="HI9" s="5" t="e">
        <f>AND('Full Results'!V73,"AAAAAH/vftg=")</f>
        <v>#VALUE!</v>
      </c>
      <c r="HJ9" s="5" t="e">
        <f>AND('Full Results'!W73,"AAAAAH/vftk=")</f>
        <v>#VALUE!</v>
      </c>
      <c r="HK9" s="5">
        <v>0</v>
      </c>
      <c r="HL9" s="5" t="e">
        <f>AND('Full Results'!A74,"AAAAAH/vfts=")</f>
        <v>#VALUE!</v>
      </c>
      <c r="HM9" s="5" t="e">
        <f>AND('Full Results'!B74,"AAAAAH/vftw=")</f>
        <v>#VALUE!</v>
      </c>
      <c r="HN9" s="5" t="e">
        <f>AND('Full Results'!C74,"AAAAAH/vft0=")</f>
        <v>#VALUE!</v>
      </c>
      <c r="HO9" s="5" t="e">
        <f>AND('Full Results'!D74,"AAAAAH/vft4=")</f>
        <v>#VALUE!</v>
      </c>
      <c r="HP9" s="5" t="e">
        <f>AND('Full Results'!E74,"AAAAAH/vft8=")</f>
        <v>#VALUE!</v>
      </c>
      <c r="HQ9" s="5" t="s">
        <v>139</v>
      </c>
      <c r="HR9" s="5" t="e">
        <f>AND('Full Results'!F74,"AAAAAH/vfuE=")</f>
        <v>#VALUE!</v>
      </c>
      <c r="HS9" s="5" t="e">
        <f>AND('Full Results'!G74,"AAAAAH/vfuI=")</f>
        <v>#VALUE!</v>
      </c>
      <c r="HT9" s="5" t="e">
        <f>AND('Full Results'!H74,"AAAAAH/vfuM=")</f>
        <v>#VALUE!</v>
      </c>
      <c r="HU9" s="5" t="e">
        <f>AND('Full Results'!I74,"AAAAAH/vfuQ=")</f>
        <v>#VALUE!</v>
      </c>
      <c r="HV9" s="5" t="e">
        <f>AND('Full Results'!J74,"AAAAAH/vfuU=")</f>
        <v>#VALUE!</v>
      </c>
      <c r="HW9" s="5" t="e">
        <f>AND('Full Results'!K74,"AAAAAH/vfuY=")</f>
        <v>#VALUE!</v>
      </c>
      <c r="HX9" s="5" t="e">
        <f>AND('Full Results'!L74,"AAAAAH/vfuc=")</f>
        <v>#VALUE!</v>
      </c>
      <c r="HY9" s="5" t="e">
        <f>AND('Full Results'!M74,"AAAAAH/vfug=")</f>
        <v>#VALUE!</v>
      </c>
      <c r="HZ9" s="5" t="e">
        <f>AND('Full Results'!N74,"AAAAAH/vfuk=")</f>
        <v>#VALUE!</v>
      </c>
      <c r="IA9" s="5" t="e">
        <f>AND('Full Results'!O74,"AAAAAH/vfuo=")</f>
        <v>#VALUE!</v>
      </c>
      <c r="IB9" s="5" t="e">
        <f>AND('Full Results'!P74,"AAAAAH/vfus=")</f>
        <v>#VALUE!</v>
      </c>
      <c r="IC9" s="5" t="e">
        <f>AND('Full Results'!Q74,"AAAAAH/vfuw=")</f>
        <v>#VALUE!</v>
      </c>
      <c r="ID9" s="5" t="e">
        <f>AND('Full Results'!R74,"AAAAAH/vfu0=")</f>
        <v>#VALUE!</v>
      </c>
      <c r="IE9" s="5" t="e">
        <f>AND('Full Results'!S74,"AAAAAH/vfu4=")</f>
        <v>#VALUE!</v>
      </c>
      <c r="IF9" s="5" t="e">
        <f>AND('Full Results'!T74,"AAAAAH/vfu8=")</f>
        <v>#VALUE!</v>
      </c>
      <c r="IG9" s="5" t="e">
        <f>AND('Full Results'!U74,"AAAAAH/vfvA=")</f>
        <v>#VALUE!</v>
      </c>
      <c r="IH9" s="5" t="e">
        <f>AND('Full Results'!V74,"AAAAAH/vfvE=")</f>
        <v>#VALUE!</v>
      </c>
      <c r="II9" s="5" t="e">
        <f>AND('Full Results'!W74,"AAAAAH/vfvI=")</f>
        <v>#VALUE!</v>
      </c>
      <c r="IJ9" s="5">
        <v>0</v>
      </c>
      <c r="IK9" s="5">
        <v>0</v>
      </c>
      <c r="IL9" s="5">
        <v>0</v>
      </c>
      <c r="IM9" s="5">
        <v>0</v>
      </c>
      <c r="IN9" s="5">
        <v>0</v>
      </c>
      <c r="IO9" s="5" t="s">
        <v>141</v>
      </c>
      <c r="IP9" s="5">
        <v>0</v>
      </c>
      <c r="IQ9" s="5">
        <v>0</v>
      </c>
      <c r="IR9" s="5">
        <v>0</v>
      </c>
      <c r="IS9" s="5">
        <v>0</v>
      </c>
      <c r="IT9" s="5">
        <v>0</v>
      </c>
      <c r="IU9" s="5">
        <v>0</v>
      </c>
      <c r="IV9" s="5">
        <v>0</v>
      </c>
    </row>
    <row r="10" spans="1:256" ht="15" customHeight="1" x14ac:dyDescent="0.2">
      <c r="A10" s="5">
        <v>0</v>
      </c>
      <c r="B10" s="5">
        <v>0</v>
      </c>
      <c r="C10" s="5">
        <v>0</v>
      </c>
      <c r="D10" s="5">
        <v>0</v>
      </c>
      <c r="E10" s="5">
        <v>0</v>
      </c>
      <c r="F10" s="5">
        <v>0</v>
      </c>
      <c r="G10" s="5">
        <v>0</v>
      </c>
      <c r="H10" s="5">
        <v>0</v>
      </c>
      <c r="I10" s="5">
        <v>0</v>
      </c>
      <c r="J10" s="5">
        <v>0</v>
      </c>
      <c r="K10" s="5">
        <v>0</v>
      </c>
      <c r="L10" s="5" t="s">
        <v>141</v>
      </c>
      <c r="M10" s="5" t="s">
        <v>141</v>
      </c>
      <c r="N10" s="5" t="s">
        <v>141</v>
      </c>
      <c r="O10" s="5" t="s">
        <v>141</v>
      </c>
      <c r="P10" s="5" t="s">
        <v>141</v>
      </c>
      <c r="Q10" s="5" t="s">
        <v>141</v>
      </c>
      <c r="R10" s="5" t="s">
        <v>141</v>
      </c>
      <c r="S10" s="5"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Full Results</vt:lpstr>
      <vt:lpstr>Best Lifts</vt:lpstr>
      <vt:lpstr>DV-IDENTITY-0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2013-08-28T09:20:15Z</dcterms:created>
  <dcterms:modified xsi:type="dcterms:W3CDTF">2013-08-28T09:21:06Z</dcterms:modified>
</cp:coreProperties>
</file>